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iej\Desktop\Zmiana na ryczałt\"/>
    </mc:Choice>
  </mc:AlternateContent>
  <xr:revisionPtr revIDLastSave="0" documentId="13_ncr:1_{BED58E00-B1A8-46B9-823B-02073432C201}" xr6:coauthVersionLast="47" xr6:coauthVersionMax="47" xr10:uidLastSave="{00000000-0000-0000-0000-000000000000}"/>
  <workbookProtection workbookAlgorithmName="SHA-512" workbookHashValue="q8b5WNwEDlQaETnCMstz7fXTm+l/xHHxp1s0jMhIaUQtSJJsNSILHpwklnmYy+cFMwvsWCuRk36hXZ4eEopkTw==" workbookSaltValue="Sgv0dGSNW/ftAzFGlnMmTA==" workbookSpinCount="100000" lockStructure="1"/>
  <bookViews>
    <workbookView xWindow="-108" yWindow="-108" windowWidth="23256" windowHeight="12456" xr2:uid="{3D676EF1-2CA9-458C-8729-808420B005CD}"/>
  </bookViews>
  <sheets>
    <sheet name="Kalkulator" sheetId="4" r:id="rId1"/>
    <sheet name="Podsumowanie" sheetId="8" r:id="rId2"/>
    <sheet name="Ryczałt (6m)" sheetId="1" state="hidden" r:id="rId3"/>
    <sheet name="Ryczałt (12m)" sheetId="6" state="hidden" r:id="rId4"/>
    <sheet name="Skala (6m)" sheetId="5" state="hidden" r:id="rId5"/>
    <sheet name="Skala (12m)" sheetId="9" state="hidden" r:id="rId6"/>
    <sheet name="Techniczny" sheetId="3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0" i="4" l="1"/>
  <c r="C2" i="6"/>
  <c r="C4" i="6"/>
  <c r="C3" i="6"/>
  <c r="C3" i="1"/>
  <c r="C4" i="1"/>
  <c r="C2" i="1"/>
  <c r="U6" i="9"/>
  <c r="V6" i="9" s="1"/>
  <c r="I10" i="8"/>
  <c r="I8" i="8"/>
  <c r="L6" i="9"/>
  <c r="I6" i="9"/>
  <c r="I25" i="9" s="1"/>
  <c r="E5" i="9"/>
  <c r="L22" i="9" s="1"/>
  <c r="B5" i="9"/>
  <c r="C17" i="9" s="1"/>
  <c r="K27" i="9"/>
  <c r="K28" i="9" s="1"/>
  <c r="S16" i="9"/>
  <c r="F18" i="9" l="1"/>
  <c r="F14" i="9"/>
  <c r="E16" i="9"/>
  <c r="H18" i="9"/>
  <c r="H20" i="9"/>
  <c r="I23" i="9"/>
  <c r="I20" i="9"/>
  <c r="E14" i="9"/>
  <c r="I18" i="9"/>
  <c r="F16" i="9"/>
  <c r="E21" i="9"/>
  <c r="I16" i="9"/>
  <c r="E23" i="9"/>
  <c r="F23" i="9"/>
  <c r="I14" i="9"/>
  <c r="E17" i="9"/>
  <c r="F19" i="9"/>
  <c r="I21" i="9"/>
  <c r="H24" i="9"/>
  <c r="G18" i="9"/>
  <c r="H14" i="9"/>
  <c r="F24" i="9"/>
  <c r="F15" i="9"/>
  <c r="F17" i="9"/>
  <c r="I19" i="9"/>
  <c r="E22" i="9"/>
  <c r="I24" i="9"/>
  <c r="E19" i="9"/>
  <c r="H15" i="9"/>
  <c r="H17" i="9"/>
  <c r="E20" i="9"/>
  <c r="F22" i="9"/>
  <c r="E25" i="9"/>
  <c r="H21" i="9"/>
  <c r="I15" i="9"/>
  <c r="I17" i="9"/>
  <c r="F20" i="9"/>
  <c r="H22" i="9"/>
  <c r="G15" i="9"/>
  <c r="G19" i="9"/>
  <c r="G21" i="9"/>
  <c r="G24" i="9"/>
  <c r="G20" i="9"/>
  <c r="G22" i="9"/>
  <c r="G17" i="9"/>
  <c r="G25" i="9"/>
  <c r="G14" i="9"/>
  <c r="G23" i="9"/>
  <c r="G16" i="9"/>
  <c r="H23" i="9"/>
  <c r="F25" i="9"/>
  <c r="E24" i="9"/>
  <c r="H25" i="9"/>
  <c r="E15" i="9"/>
  <c r="H16" i="9"/>
  <c r="E18" i="9"/>
  <c r="H19" i="9"/>
  <c r="F21" i="9"/>
  <c r="I22" i="9"/>
  <c r="C25" i="9"/>
  <c r="C21" i="9"/>
  <c r="C22" i="9"/>
  <c r="C20" i="9"/>
  <c r="L20" i="9"/>
  <c r="C24" i="9"/>
  <c r="L24" i="9"/>
  <c r="L17" i="9"/>
  <c r="C15" i="9"/>
  <c r="L15" i="9"/>
  <c r="L21" i="9"/>
  <c r="L25" i="9"/>
  <c r="C16" i="9"/>
  <c r="C19" i="9"/>
  <c r="L19" i="9"/>
  <c r="C23" i="9"/>
  <c r="L23" i="9"/>
  <c r="L16" i="9"/>
  <c r="C14" i="9"/>
  <c r="L14" i="9"/>
  <c r="C18" i="9"/>
  <c r="L18" i="9"/>
  <c r="J18" i="9" l="1"/>
  <c r="H27" i="9"/>
  <c r="H28" i="9" s="1"/>
  <c r="E27" i="9"/>
  <c r="E28" i="9" s="1"/>
  <c r="I27" i="9"/>
  <c r="I28" i="9" s="1"/>
  <c r="F27" i="9"/>
  <c r="F28" i="9" s="1"/>
  <c r="M17" i="9"/>
  <c r="J15" i="9"/>
  <c r="J25" i="9"/>
  <c r="J16" i="9"/>
  <c r="G27" i="9"/>
  <c r="G28" i="9" s="1"/>
  <c r="J23" i="9"/>
  <c r="J17" i="9"/>
  <c r="J19" i="9"/>
  <c r="J24" i="9"/>
  <c r="J20" i="9"/>
  <c r="J14" i="9"/>
  <c r="J21" i="9"/>
  <c r="M21" i="9"/>
  <c r="M22" i="9"/>
  <c r="J22" i="9"/>
  <c r="M25" i="9"/>
  <c r="M20" i="9"/>
  <c r="M18" i="9"/>
  <c r="M15" i="9"/>
  <c r="M19" i="9"/>
  <c r="L27" i="9"/>
  <c r="L28" i="9" s="1"/>
  <c r="M23" i="9"/>
  <c r="C27" i="9"/>
  <c r="M14" i="9"/>
  <c r="D14" i="9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M16" i="9"/>
  <c r="M24" i="9"/>
  <c r="I14" i="8" l="1"/>
  <c r="C28" i="9"/>
  <c r="M27" i="9"/>
  <c r="N14" i="9"/>
  <c r="O14" i="9" s="1"/>
  <c r="M28" i="9" l="1"/>
  <c r="T6" i="9"/>
  <c r="N15" i="9"/>
  <c r="O15" i="9" s="1"/>
  <c r="P14" i="9" l="1"/>
  <c r="J27" i="9"/>
  <c r="I16" i="8" s="1"/>
  <c r="P15" i="9"/>
  <c r="Q15" i="9" s="1"/>
  <c r="N16" i="9"/>
  <c r="O16" i="9" s="1"/>
  <c r="J28" i="9" l="1"/>
  <c r="P16" i="9"/>
  <c r="Q16" i="9" s="1"/>
  <c r="N17" i="9"/>
  <c r="O17" i="9" s="1"/>
  <c r="Q14" i="9"/>
  <c r="N18" i="9" l="1"/>
  <c r="O18" i="9" s="1"/>
  <c r="P17" i="9"/>
  <c r="Q17" i="9" s="1"/>
  <c r="N19" i="9" l="1"/>
  <c r="O19" i="9" s="1"/>
  <c r="P18" i="9"/>
  <c r="Q18" i="9" s="1"/>
  <c r="P19" i="9" l="1"/>
  <c r="Q19" i="9" s="1"/>
  <c r="N20" i="9"/>
  <c r="O20" i="9" s="1"/>
  <c r="P20" i="9" l="1"/>
  <c r="Q20" i="9" s="1"/>
  <c r="N21" i="9"/>
  <c r="O21" i="9" s="1"/>
  <c r="N22" i="9" l="1"/>
  <c r="O22" i="9" s="1"/>
  <c r="P21" i="9"/>
  <c r="Q21" i="9" s="1"/>
  <c r="N23" i="9" l="1"/>
  <c r="O23" i="9" s="1"/>
  <c r="P22" i="9"/>
  <c r="Q22" i="9" s="1"/>
  <c r="P23" i="9" l="1"/>
  <c r="Q23" i="9" s="1"/>
  <c r="N24" i="9"/>
  <c r="O24" i="9" s="1"/>
  <c r="P24" i="9" l="1"/>
  <c r="Q24" i="9" s="1"/>
  <c r="N25" i="9"/>
  <c r="O25" i="9" s="1"/>
  <c r="P25" i="9" l="1"/>
  <c r="O27" i="9" l="1"/>
  <c r="O28" i="9" s="1"/>
  <c r="Q25" i="9"/>
  <c r="Q27" i="9" s="1"/>
  <c r="Q28" i="9" s="1"/>
  <c r="P27" i="9"/>
  <c r="P28" i="9" l="1"/>
  <c r="I12" i="8"/>
  <c r="I46" i="8" l="1"/>
  <c r="I44" i="8"/>
  <c r="I18" i="8"/>
  <c r="H38" i="4" s="1"/>
  <c r="I28" i="8"/>
  <c r="I26" i="8"/>
  <c r="I20" i="8" l="1"/>
  <c r="U6" i="5"/>
  <c r="V6" i="5" s="1"/>
  <c r="C8" i="6"/>
  <c r="D53" i="6"/>
  <c r="D52" i="6"/>
  <c r="D51" i="6"/>
  <c r="C14" i="6"/>
  <c r="C11" i="6"/>
  <c r="D16" i="6" s="1"/>
  <c r="D53" i="1"/>
  <c r="D52" i="1"/>
  <c r="D51" i="1"/>
  <c r="C8" i="1"/>
  <c r="C5" i="6" l="1"/>
  <c r="C26" i="6" s="1"/>
  <c r="D12" i="6"/>
  <c r="D13" i="6"/>
  <c r="D14" i="6"/>
  <c r="D15" i="6"/>
  <c r="I6" i="5"/>
  <c r="E18" i="5" s="1"/>
  <c r="C11" i="1"/>
  <c r="S6" i="5"/>
  <c r="K21" i="5"/>
  <c r="K22" i="5" s="1"/>
  <c r="L6" i="5"/>
  <c r="E5" i="5"/>
  <c r="L16" i="5" s="1"/>
  <c r="B5" i="5"/>
  <c r="D17" i="6" l="1"/>
  <c r="F14" i="5"/>
  <c r="E16" i="5"/>
  <c r="I16" i="5"/>
  <c r="I18" i="5"/>
  <c r="C19" i="5"/>
  <c r="C15" i="5"/>
  <c r="C17" i="5"/>
  <c r="C16" i="5"/>
  <c r="G15" i="5"/>
  <c r="L15" i="5"/>
  <c r="G17" i="5"/>
  <c r="L17" i="5"/>
  <c r="G19" i="5"/>
  <c r="L19" i="5"/>
  <c r="C14" i="5"/>
  <c r="G14" i="5"/>
  <c r="L14" i="5"/>
  <c r="H15" i="5"/>
  <c r="F16" i="5"/>
  <c r="H17" i="5"/>
  <c r="F18" i="5"/>
  <c r="H19" i="5"/>
  <c r="I17" i="5"/>
  <c r="C18" i="5"/>
  <c r="G18" i="5"/>
  <c r="L18" i="5"/>
  <c r="E19" i="5"/>
  <c r="I19" i="5"/>
  <c r="H14" i="5"/>
  <c r="E15" i="5"/>
  <c r="I15" i="5"/>
  <c r="G16" i="5"/>
  <c r="E17" i="5"/>
  <c r="E14" i="5"/>
  <c r="I14" i="5"/>
  <c r="F15" i="5"/>
  <c r="H16" i="5"/>
  <c r="F17" i="5"/>
  <c r="H18" i="5"/>
  <c r="F19" i="5"/>
  <c r="J14" i="5" l="1"/>
  <c r="J18" i="5"/>
  <c r="J17" i="5"/>
  <c r="J19" i="5"/>
  <c r="J15" i="5"/>
  <c r="J16" i="5"/>
  <c r="I50" i="8"/>
  <c r="C27" i="6"/>
  <c r="C28" i="6" s="1"/>
  <c r="C20" i="6"/>
  <c r="C22" i="6"/>
  <c r="C21" i="6"/>
  <c r="M19" i="5"/>
  <c r="M18" i="5"/>
  <c r="E21" i="5"/>
  <c r="E22" i="5" s="1"/>
  <c r="M14" i="5"/>
  <c r="N14" i="5" s="1"/>
  <c r="O14" i="5" s="1"/>
  <c r="M15" i="5"/>
  <c r="M16" i="5"/>
  <c r="M17" i="5"/>
  <c r="F21" i="5"/>
  <c r="F22" i="5" s="1"/>
  <c r="H21" i="5"/>
  <c r="H22" i="5" s="1"/>
  <c r="C21" i="5"/>
  <c r="D14" i="5"/>
  <c r="D15" i="5" s="1"/>
  <c r="D16" i="5" s="1"/>
  <c r="D17" i="5" s="1"/>
  <c r="D18" i="5" s="1"/>
  <c r="D19" i="5" s="1"/>
  <c r="G21" i="5"/>
  <c r="G22" i="5" s="1"/>
  <c r="I21" i="5"/>
  <c r="I22" i="5" s="1"/>
  <c r="L21" i="5"/>
  <c r="L22" i="5" s="1"/>
  <c r="C32" i="6" l="1"/>
  <c r="C22" i="5"/>
  <c r="M21" i="5"/>
  <c r="C34" i="6" l="1"/>
  <c r="M22" i="5"/>
  <c r="Q24" i="5"/>
  <c r="N15" i="5"/>
  <c r="O15" i="5" s="1"/>
  <c r="I52" i="8" l="1"/>
  <c r="C35" i="6"/>
  <c r="J21" i="5"/>
  <c r="P14" i="5"/>
  <c r="P15" i="5"/>
  <c r="Q15" i="5" s="1"/>
  <c r="N16" i="5"/>
  <c r="O16" i="5" s="1"/>
  <c r="C40" i="6" l="1"/>
  <c r="C46" i="6" s="1"/>
  <c r="C39" i="6"/>
  <c r="C45" i="6" s="1"/>
  <c r="C41" i="6"/>
  <c r="C47" i="6" s="1"/>
  <c r="J22" i="5"/>
  <c r="N17" i="5"/>
  <c r="O17" i="5" s="1"/>
  <c r="P16" i="5"/>
  <c r="Q16" i="5" s="1"/>
  <c r="Q14" i="5"/>
  <c r="C53" i="6" l="1"/>
  <c r="E53" i="6"/>
  <c r="F53" i="6" s="1"/>
  <c r="G53" i="6"/>
  <c r="H53" i="6" s="1"/>
  <c r="G51" i="6"/>
  <c r="H51" i="6" s="1"/>
  <c r="E51" i="6"/>
  <c r="F51" i="6" s="1"/>
  <c r="E52" i="6"/>
  <c r="F52" i="6" s="1"/>
  <c r="C52" i="6"/>
  <c r="G52" i="6"/>
  <c r="H52" i="6" s="1"/>
  <c r="N18" i="5"/>
  <c r="O18" i="5" s="1"/>
  <c r="I52" i="6" l="1"/>
  <c r="I51" i="6"/>
  <c r="C51" i="6" s="1"/>
  <c r="C54" i="6" s="1"/>
  <c r="I53" i="6"/>
  <c r="P17" i="5"/>
  <c r="N19" i="5"/>
  <c r="O19" i="5" s="1"/>
  <c r="P18" i="5"/>
  <c r="Q18" i="5" s="1"/>
  <c r="I48" i="8" l="1"/>
  <c r="I54" i="8" s="1"/>
  <c r="H36" i="4" s="1"/>
  <c r="C58" i="6"/>
  <c r="C59" i="6" s="1"/>
  <c r="P19" i="5"/>
  <c r="Q19" i="5" s="1"/>
  <c r="Q17" i="5"/>
  <c r="I56" i="8" l="1"/>
  <c r="O21" i="5"/>
  <c r="O22" i="5" s="1"/>
  <c r="Q21" i="5" l="1"/>
  <c r="Q22" i="5" s="1"/>
  <c r="P21" i="5"/>
  <c r="P22" i="5" l="1"/>
  <c r="C14" i="1" l="1"/>
  <c r="D16" i="1"/>
  <c r="D14" i="1" l="1"/>
  <c r="D15" i="1"/>
  <c r="D13" i="1"/>
  <c r="D12" i="1"/>
  <c r="C5" i="1"/>
  <c r="D17" i="1" l="1"/>
  <c r="I32" i="8" s="1"/>
  <c r="C26" i="1"/>
  <c r="C27" i="1" l="1"/>
  <c r="C20" i="1"/>
  <c r="C21" i="1"/>
  <c r="C22" i="1"/>
  <c r="C28" i="1"/>
  <c r="C32" i="1" s="1"/>
  <c r="C34" i="1" l="1"/>
  <c r="I34" i="8" s="1"/>
  <c r="C35" i="1" l="1"/>
  <c r="C41" i="1" s="1"/>
  <c r="C47" i="1" s="1"/>
  <c r="G53" i="1" l="1"/>
  <c r="H53" i="1" s="1"/>
  <c r="E53" i="1"/>
  <c r="F53" i="1" s="1"/>
  <c r="C39" i="1"/>
  <c r="C45" i="1" s="1"/>
  <c r="C40" i="1"/>
  <c r="C46" i="1" s="1"/>
  <c r="I53" i="1" l="1"/>
  <c r="C53" i="1" s="1"/>
  <c r="C52" i="1"/>
  <c r="G52" i="1"/>
  <c r="H52" i="1" s="1"/>
  <c r="E52" i="1"/>
  <c r="F52" i="1" s="1"/>
  <c r="E51" i="1"/>
  <c r="F51" i="1" s="1"/>
  <c r="G51" i="1"/>
  <c r="H51" i="1" s="1"/>
  <c r="I52" i="1" l="1"/>
  <c r="I51" i="1"/>
  <c r="C51" i="1" l="1"/>
  <c r="C54" i="1" s="1"/>
  <c r="I30" i="8" l="1"/>
  <c r="I36" i="8" s="1"/>
  <c r="H40" i="4" s="1"/>
  <c r="C58" i="1"/>
  <c r="C59" i="1" s="1"/>
  <c r="A65" i="4"/>
  <c r="I38" i="8" l="1"/>
</calcChain>
</file>

<file path=xl/sharedStrings.xml><?xml version="1.0" encoding="utf-8"?>
<sst xmlns="http://schemas.openxmlformats.org/spreadsheetml/2006/main" count="262" uniqueCount="125">
  <si>
    <t>Przychód</t>
  </si>
  <si>
    <t>przychód 1</t>
  </si>
  <si>
    <t>przychód 2</t>
  </si>
  <si>
    <t>przychód 3</t>
  </si>
  <si>
    <t>łącznie</t>
  </si>
  <si>
    <t>Koszt</t>
  </si>
  <si>
    <t>Składki ZUS</t>
  </si>
  <si>
    <t>podstawa</t>
  </si>
  <si>
    <t>emerytalna</t>
  </si>
  <si>
    <t>rentowa</t>
  </si>
  <si>
    <t>chorobowa</t>
  </si>
  <si>
    <t>wypadkowa</t>
  </si>
  <si>
    <t>FP + FS</t>
  </si>
  <si>
    <t>składki ZUS łącznie</t>
  </si>
  <si>
    <t>Rozbicie składek ZUS</t>
  </si>
  <si>
    <t>Podatek</t>
  </si>
  <si>
    <t>Przychód wg ustawy</t>
  </si>
  <si>
    <t>przychód brutto</t>
  </si>
  <si>
    <t>ZUS</t>
  </si>
  <si>
    <t>Składka zdrowotna:</t>
  </si>
  <si>
    <t>stawka</t>
  </si>
  <si>
    <t>składka</t>
  </si>
  <si>
    <t>Netto:</t>
  </si>
  <si>
    <t>miesięcznie</t>
  </si>
  <si>
    <t>Przychody</t>
  </si>
  <si>
    <t>Tak</t>
  </si>
  <si>
    <t>Podatek dochodowy</t>
  </si>
  <si>
    <t>Wynagrodzenie netto</t>
  </si>
  <si>
    <t>Uśrednione miesięczne wynagrodzenie netto</t>
  </si>
  <si>
    <t>Ryczałt vs skala podatkowa – Polski Ład 2.0</t>
  </si>
  <si>
    <t>Przychody z działalności gospodarczej</t>
  </si>
  <si>
    <t>Stawka</t>
  </si>
  <si>
    <t>8,5%/12,5%</t>
  </si>
  <si>
    <t>Koszty działalności gospodarczej</t>
  </si>
  <si>
    <t>Informacje dodatkowe</t>
  </si>
  <si>
    <t>Czy opłacasz dobrowolną składkę chorobową?</t>
  </si>
  <si>
    <t>Nie</t>
  </si>
  <si>
    <t>odliczalna składka</t>
  </si>
  <si>
    <t>Rozbicie składki zdrowotnej</t>
  </si>
  <si>
    <t>Podstawa opodatkowania</t>
  </si>
  <si>
    <t>6 miesięcy</t>
  </si>
  <si>
    <t>Koszty</t>
  </si>
  <si>
    <t>Monthly net invoice*</t>
  </si>
  <si>
    <t>Monthly expenses</t>
  </si>
  <si>
    <t>Constant values to be adjusted</t>
  </si>
  <si>
    <t>Constants</t>
  </si>
  <si>
    <t>SS base</t>
  </si>
  <si>
    <t>Social Security Contributions</t>
  </si>
  <si>
    <t>health</t>
  </si>
  <si>
    <t>I tax rate</t>
  </si>
  <si>
    <t>tax threshold</t>
  </si>
  <si>
    <t>II tax rate</t>
  </si>
  <si>
    <t>pension</t>
  </si>
  <si>
    <t>rental</t>
  </si>
  <si>
    <t>sickness</t>
  </si>
  <si>
    <t>accident</t>
  </si>
  <si>
    <t>labour</t>
  </si>
  <si>
    <t>Amounts</t>
  </si>
  <si>
    <t>Hypotax - full social security</t>
  </si>
  <si>
    <t>Self-employed hypothetical monthly renumeration calculation</t>
  </si>
  <si>
    <t>Month</t>
  </si>
  <si>
    <t>Net invoice</t>
  </si>
  <si>
    <t>Cumulative net invoice</t>
  </si>
  <si>
    <t>Health insurance</t>
  </si>
  <si>
    <t>Costs</t>
  </si>
  <si>
    <t>Tax Base</t>
  </si>
  <si>
    <t>Cumulative tax base</t>
  </si>
  <si>
    <t>Tax calculated</t>
  </si>
  <si>
    <t>Tax Advances</t>
  </si>
  <si>
    <t>Net</t>
  </si>
  <si>
    <t>paid</t>
  </si>
  <si>
    <t>deductable</t>
  </si>
  <si>
    <t>July</t>
  </si>
  <si>
    <t>August</t>
  </si>
  <si>
    <t>September</t>
  </si>
  <si>
    <t>October</t>
  </si>
  <si>
    <t>November</t>
  </si>
  <si>
    <t>December</t>
  </si>
  <si>
    <t>Summary</t>
  </si>
  <si>
    <t>TOTAL</t>
  </si>
  <si>
    <t>N/A</t>
  </si>
  <si>
    <t>Avg. per month</t>
  </si>
  <si>
    <t>Kwota</t>
  </si>
  <si>
    <t>Miesięczny przychód 1</t>
  </si>
  <si>
    <t>Miesięczny przychód 2</t>
  </si>
  <si>
    <t>Miesięczny przychód 3</t>
  </si>
  <si>
    <t>Solidarity tax</t>
  </si>
  <si>
    <t>Danina solidarnościowa</t>
  </si>
  <si>
    <t>Jakie składki ZUS opłacasz w działalności gospodarczej?</t>
  </si>
  <si>
    <t>Normalny ZUS</t>
  </si>
  <si>
    <t>Mały ZUS</t>
  </si>
  <si>
    <t>Brak ZUS (zbieg tytułów)</t>
  </si>
  <si>
    <t>Umowa o pracę</t>
  </si>
  <si>
    <t>Umowa zlecenie</t>
  </si>
  <si>
    <t>Umowa o dzieło</t>
  </si>
  <si>
    <t>Powołanie</t>
  </si>
  <si>
    <t>Pozostałe dochody opodatkowane wg skali osiągnięte w 2022 r. (podstawa opodatkowania)</t>
  </si>
  <si>
    <t/>
  </si>
  <si>
    <t>12 miesięcy</t>
  </si>
  <si>
    <t>Remaining tax allowance</t>
  </si>
  <si>
    <t>Podsumowanie</t>
  </si>
  <si>
    <t>Wyniki – ryczałt (6 miesięcy) + skala (6 miesięcy)</t>
  </si>
  <si>
    <t>Składki na ubezpieczenie społeczne (ZUS)</t>
  </si>
  <si>
    <t>Składki na ubezpieczenie zdrowotne (NFZ)</t>
  </si>
  <si>
    <t>Wyniki – skala (12 miesięcy)</t>
  </si>
  <si>
    <t>Wyniki – ryczałt (12 miesięcy)</t>
  </si>
  <si>
    <t>Podatek dochodowy (+ danina solidarnościowa)</t>
  </si>
  <si>
    <t>Składki na ubezpieczenie społeczne (NFZ)</t>
  </si>
  <si>
    <t>Baza ulgi dla KŚ</t>
  </si>
  <si>
    <t>-</t>
  </si>
  <si>
    <t>Ulga roczna</t>
  </si>
  <si>
    <t>January</t>
  </si>
  <si>
    <t>February</t>
  </si>
  <si>
    <t>Ulga miesięczna</t>
  </si>
  <si>
    <t>March</t>
  </si>
  <si>
    <t>April</t>
  </si>
  <si>
    <t>May</t>
  </si>
  <si>
    <t>June</t>
  </si>
  <si>
    <t>Minimal health base</t>
  </si>
  <si>
    <t>Pozostanie na ryczałcie</t>
  </si>
  <si>
    <t>Zmiana na skalę podatkową za cały 2022 rok</t>
  </si>
  <si>
    <t>Zmiana na skalę podatkową od 1 lipca 2022 roku</t>
  </si>
  <si>
    <t>Wyniki – dochód netto za 2022 r.</t>
  </si>
  <si>
    <t>Tax in I rate</t>
  </si>
  <si>
    <t>Miesięczne koszty uzyskania przychodu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</si>
</sst>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zł&quot;;[Red]\-#,##0.00\ &quot;zł&quot;"/>
    <numFmt numFmtId="43" formatCode="_-* #,##0.00_-;\-* #,##0.00_-;_-* &quot;-&quot;??_-;_-@_-"/>
    <numFmt numFmtId="164" formatCode="_-* #,##0.00\ _z_ł_-;\-* #,##0.00\ _z_ł_-;_-* &quot;-&quot;??\ _z_ł_-;_-@_-"/>
    <numFmt numFmtId="165" formatCode="#,##0.00\ &quot;zł&quot;"/>
    <numFmt numFmtId="166" formatCode="0.0%"/>
    <numFmt numFmtId="167" formatCode="#,##0\ &quot;zł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38"/>
    </font>
    <font>
      <b/>
      <sz val="16"/>
      <name val="Cambria"/>
      <family val="1"/>
      <charset val="238"/>
    </font>
    <font>
      <b/>
      <sz val="14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b/>
      <sz val="13"/>
      <color theme="1"/>
      <name val="Cambria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6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3"/>
      <color theme="1"/>
      <name val="Cambria"/>
      <family val="1"/>
    </font>
    <font>
      <b/>
      <sz val="13"/>
      <color theme="1"/>
      <name val="Cambria"/>
      <family val="1"/>
    </font>
    <font>
      <sz val="13"/>
      <color theme="1"/>
      <name val="Cambria"/>
      <family val="1"/>
      <charset val="238"/>
    </font>
    <font>
      <b/>
      <sz val="18"/>
      <color theme="1"/>
      <name val="Cambria"/>
      <family val="1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67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27">
    <xf numFmtId="0" fontId="0" fillId="0" borderId="0" xfId="0"/>
    <xf numFmtId="0" fontId="0" fillId="0" borderId="3" xfId="0" applyBorder="1"/>
    <xf numFmtId="164" fontId="0" fillId="0" borderId="4" xfId="0" applyNumberFormat="1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164" fontId="0" fillId="0" borderId="8" xfId="0" applyNumberFormat="1" applyBorder="1"/>
    <xf numFmtId="164" fontId="0" fillId="0" borderId="0" xfId="0" applyNumberFormat="1"/>
    <xf numFmtId="0" fontId="1" fillId="0" borderId="7" xfId="0" applyFont="1" applyBorder="1"/>
    <xf numFmtId="0" fontId="2" fillId="0" borderId="0" xfId="0" applyFont="1"/>
    <xf numFmtId="0" fontId="0" fillId="3" borderId="3" xfId="0" applyFill="1" applyBorder="1"/>
    <xf numFmtId="10" fontId="0" fillId="0" borderId="0" xfId="0" applyNumberFormat="1" applyAlignment="1" applyProtection="1">
      <alignment vertical="center"/>
      <protection hidden="1"/>
    </xf>
    <xf numFmtId="10" fontId="0" fillId="0" borderId="12" xfId="0" applyNumberFormat="1" applyBorder="1" applyAlignment="1" applyProtection="1">
      <alignment vertical="center"/>
      <protection hidden="1"/>
    </xf>
    <xf numFmtId="164" fontId="0" fillId="0" borderId="14" xfId="0" applyNumberFormat="1" applyBorder="1"/>
    <xf numFmtId="0" fontId="2" fillId="0" borderId="7" xfId="0" applyFont="1" applyBorder="1"/>
    <xf numFmtId="164" fontId="0" fillId="0" borderId="4" xfId="0" applyNumberFormat="1" applyBorder="1" applyAlignment="1">
      <alignment horizontal="right" vertical="center"/>
    </xf>
    <xf numFmtId="9" fontId="0" fillId="0" borderId="4" xfId="0" applyNumberFormat="1" applyBorder="1" applyAlignment="1">
      <alignment horizontal="right" vertical="center"/>
    </xf>
    <xf numFmtId="0" fontId="4" fillId="4" borderId="0" xfId="0" applyFont="1" applyFill="1"/>
    <xf numFmtId="0" fontId="0" fillId="4" borderId="0" xfId="0" applyFill="1"/>
    <xf numFmtId="165" fontId="0" fillId="4" borderId="0" xfId="0" applyNumberFormat="1" applyFill="1"/>
    <xf numFmtId="9" fontId="0" fillId="0" borderId="0" xfId="0" applyNumberFormat="1"/>
    <xf numFmtId="166" fontId="0" fillId="0" borderId="0" xfId="0" applyNumberFormat="1"/>
    <xf numFmtId="0" fontId="4" fillId="4" borderId="0" xfId="0" applyFont="1" applyFill="1" applyBorder="1"/>
    <xf numFmtId="0" fontId="0" fillId="4" borderId="16" xfId="0" applyFill="1" applyBorder="1"/>
    <xf numFmtId="0" fontId="0" fillId="4" borderId="0" xfId="0" applyFill="1" applyBorder="1"/>
    <xf numFmtId="8" fontId="0" fillId="0" borderId="0" xfId="0" applyNumberFormat="1"/>
    <xf numFmtId="0" fontId="0" fillId="0" borderId="7" xfId="0" applyFill="1" applyBorder="1"/>
    <xf numFmtId="0" fontId="0" fillId="0" borderId="0" xfId="0" applyProtection="1">
      <protection hidden="1"/>
    </xf>
    <xf numFmtId="0" fontId="0" fillId="2" borderId="43" xfId="0" applyFill="1" applyBorder="1" applyAlignment="1" applyProtection="1">
      <alignment vertical="center"/>
      <protection hidden="1"/>
    </xf>
    <xf numFmtId="0" fontId="0" fillId="0" borderId="43" xfId="0" applyBorder="1" applyAlignment="1" applyProtection="1">
      <alignment vertical="center"/>
      <protection hidden="1"/>
    </xf>
    <xf numFmtId="2" fontId="0" fillId="0" borderId="43" xfId="0" applyNumberFormat="1" applyBorder="1" applyProtection="1">
      <protection hidden="1"/>
    </xf>
    <xf numFmtId="10" fontId="0" fillId="0" borderId="43" xfId="0" applyNumberFormat="1" applyBorder="1" applyAlignment="1" applyProtection="1">
      <alignment vertical="center"/>
      <protection hidden="1"/>
    </xf>
    <xf numFmtId="2" fontId="0" fillId="0" borderId="43" xfId="0" applyNumberFormat="1" applyBorder="1" applyAlignment="1" applyProtection="1">
      <alignment vertical="center"/>
      <protection hidden="1"/>
    </xf>
    <xf numFmtId="9" fontId="0" fillId="0" borderId="43" xfId="0" applyNumberFormat="1" applyBorder="1" applyAlignment="1" applyProtection="1">
      <alignment vertical="center"/>
      <protection hidden="1"/>
    </xf>
    <xf numFmtId="10" fontId="0" fillId="0" borderId="0" xfId="0" applyNumberFormat="1" applyProtection="1">
      <protection hidden="1"/>
    </xf>
    <xf numFmtId="9" fontId="0" fillId="0" borderId="0" xfId="0" applyNumberFormat="1" applyProtection="1">
      <protection hidden="1"/>
    </xf>
    <xf numFmtId="0" fontId="12" fillId="0" borderId="0" xfId="0" applyFont="1" applyProtection="1">
      <protection hidden="1"/>
    </xf>
    <xf numFmtId="164" fontId="12" fillId="0" borderId="0" xfId="0" applyNumberFormat="1" applyFont="1" applyProtection="1">
      <protection hidden="1"/>
    </xf>
    <xf numFmtId="164" fontId="13" fillId="0" borderId="0" xfId="1" applyFont="1" applyFill="1" applyBorder="1" applyAlignment="1" applyProtection="1">
      <alignment horizontal="left" vertical="center" wrapText="1"/>
      <protection hidden="1"/>
    </xf>
    <xf numFmtId="164" fontId="0" fillId="0" borderId="0" xfId="0" applyNumberFormat="1" applyProtection="1">
      <protection hidden="1"/>
    </xf>
    <xf numFmtId="0" fontId="17" fillId="0" borderId="43" xfId="0" applyFont="1" applyBorder="1" applyAlignment="1" applyProtection="1">
      <alignment vertical="center" wrapText="1"/>
      <protection hidden="1"/>
    </xf>
    <xf numFmtId="164" fontId="17" fillId="0" borderId="43" xfId="1" applyFont="1" applyFill="1" applyBorder="1" applyAlignment="1" applyProtection="1">
      <alignment horizontal="left" vertical="center"/>
      <protection hidden="1"/>
    </xf>
    <xf numFmtId="0" fontId="19" fillId="8" borderId="43" xfId="0" applyFont="1" applyFill="1" applyBorder="1" applyAlignment="1" applyProtection="1">
      <alignment vertical="center" wrapText="1"/>
      <protection hidden="1"/>
    </xf>
    <xf numFmtId="164" fontId="19" fillId="8" borderId="43" xfId="1" applyFont="1" applyFill="1" applyBorder="1" applyAlignment="1" applyProtection="1">
      <alignment horizontal="left" vertical="center"/>
      <protection hidden="1"/>
    </xf>
    <xf numFmtId="164" fontId="19" fillId="0" borderId="43" xfId="1" applyFont="1" applyFill="1" applyBorder="1" applyAlignment="1" applyProtection="1">
      <alignment horizontal="left" vertical="center"/>
      <protection hidden="1"/>
    </xf>
    <xf numFmtId="164" fontId="19" fillId="17" borderId="43" xfId="1" applyFont="1" applyFill="1" applyBorder="1" applyAlignment="1" applyProtection="1">
      <alignment horizontal="left" vertical="center"/>
      <protection hidden="1"/>
    </xf>
    <xf numFmtId="0" fontId="20" fillId="0" borderId="43" xfId="0" applyFont="1" applyBorder="1" applyProtection="1">
      <protection hidden="1"/>
    </xf>
    <xf numFmtId="164" fontId="20" fillId="0" borderId="43" xfId="0" applyNumberFormat="1" applyFont="1" applyBorder="1" applyAlignment="1" applyProtection="1">
      <alignment horizontal="left"/>
      <protection hidden="1"/>
    </xf>
    <xf numFmtId="0" fontId="2" fillId="0" borderId="0" xfId="0" applyFont="1" applyProtection="1">
      <protection hidden="1"/>
    </xf>
    <xf numFmtId="165" fontId="0" fillId="0" borderId="0" xfId="0" applyNumberFormat="1"/>
    <xf numFmtId="164" fontId="17" fillId="0" borderId="0" xfId="1" applyFont="1" applyFill="1" applyBorder="1" applyAlignment="1" applyProtection="1">
      <alignment horizontal="left" vertical="center"/>
      <protection hidden="1"/>
    </xf>
    <xf numFmtId="0" fontId="0" fillId="0" borderId="0" xfId="0" quotePrefix="1"/>
    <xf numFmtId="9" fontId="0" fillId="0" borderId="0" xfId="0" quotePrefix="1" applyNumberFormat="1"/>
    <xf numFmtId="0" fontId="0" fillId="11" borderId="0" xfId="0" applyFill="1"/>
    <xf numFmtId="0" fontId="0" fillId="11" borderId="24" xfId="0" applyFill="1" applyBorder="1"/>
    <xf numFmtId="0" fontId="0" fillId="11" borderId="20" xfId="0" applyFill="1" applyBorder="1"/>
    <xf numFmtId="0" fontId="0" fillId="4" borderId="0" xfId="0" quotePrefix="1" applyFill="1"/>
    <xf numFmtId="43" fontId="0" fillId="0" borderId="0" xfId="2" applyFont="1" applyProtection="1">
      <protection hidden="1"/>
    </xf>
    <xf numFmtId="167" fontId="0" fillId="0" borderId="43" xfId="0" applyNumberFormat="1" applyBorder="1" applyAlignment="1">
      <alignment vertical="center"/>
    </xf>
    <xf numFmtId="164" fontId="2" fillId="0" borderId="0" xfId="0" applyNumberFormat="1" applyFont="1" applyAlignment="1" applyProtection="1">
      <alignment horizontal="left"/>
      <protection hidden="1"/>
    </xf>
    <xf numFmtId="165" fontId="0" fillId="0" borderId="0" xfId="0" applyNumberForma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0" fillId="0" borderId="3" xfId="0" applyBorder="1" applyProtection="1">
      <protection hidden="1"/>
    </xf>
    <xf numFmtId="165" fontId="22" fillId="6" borderId="27" xfId="0" applyNumberFormat="1" applyFont="1" applyFill="1" applyBorder="1" applyAlignment="1">
      <alignment horizontal="center" vertical="center"/>
    </xf>
    <xf numFmtId="165" fontId="22" fillId="6" borderId="33" xfId="0" applyNumberFormat="1" applyFont="1" applyFill="1" applyBorder="1" applyAlignment="1">
      <alignment horizontal="center" vertical="center"/>
    </xf>
    <xf numFmtId="165" fontId="22" fillId="6" borderId="28" xfId="0" applyNumberFormat="1" applyFont="1" applyFill="1" applyBorder="1" applyAlignment="1">
      <alignment horizontal="center" vertical="center"/>
    </xf>
    <xf numFmtId="165" fontId="22" fillId="6" borderId="30" xfId="0" applyNumberFormat="1" applyFont="1" applyFill="1" applyBorder="1" applyAlignment="1">
      <alignment horizontal="center" vertical="center"/>
    </xf>
    <xf numFmtId="165" fontId="22" fillId="6" borderId="19" xfId="0" applyNumberFormat="1" applyFont="1" applyFill="1" applyBorder="1" applyAlignment="1">
      <alignment horizontal="center" vertical="center"/>
    </xf>
    <xf numFmtId="165" fontId="22" fillId="6" borderId="20" xfId="0" applyNumberFormat="1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18" xfId="0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23" fillId="6" borderId="37" xfId="0" applyFont="1" applyFill="1" applyBorder="1" applyAlignment="1">
      <alignment horizontal="center" vertical="center" wrapText="1"/>
    </xf>
    <xf numFmtId="0" fontId="23" fillId="6" borderId="21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23" fillId="6" borderId="45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0" fontId="21" fillId="6" borderId="21" xfId="0" applyFont="1" applyFill="1" applyBorder="1" applyAlignment="1">
      <alignment horizontal="center" vertical="center" wrapText="1"/>
    </xf>
    <xf numFmtId="0" fontId="21" fillId="6" borderId="0" xfId="0" applyFont="1" applyFill="1" applyBorder="1" applyAlignment="1">
      <alignment horizontal="center" vertical="center" wrapText="1"/>
    </xf>
    <xf numFmtId="0" fontId="21" fillId="6" borderId="22" xfId="0" applyFont="1" applyFill="1" applyBorder="1" applyAlignment="1">
      <alignment horizontal="center" vertical="center" wrapText="1"/>
    </xf>
    <xf numFmtId="165" fontId="22" fillId="6" borderId="31" xfId="0" applyNumberFormat="1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165" fontId="22" fillId="6" borderId="23" xfId="0" applyNumberFormat="1" applyFont="1" applyFill="1" applyBorder="1" applyAlignment="1">
      <alignment horizontal="center" vertical="center"/>
    </xf>
    <xf numFmtId="165" fontId="22" fillId="6" borderId="0" xfId="0" applyNumberFormat="1" applyFont="1" applyFill="1" applyBorder="1" applyAlignment="1">
      <alignment horizontal="center" vertical="center"/>
    </xf>
    <xf numFmtId="165" fontId="22" fillId="6" borderId="24" xfId="0" applyNumberFormat="1" applyFont="1" applyFill="1" applyBorder="1" applyAlignment="1">
      <alignment horizontal="center" vertical="center"/>
    </xf>
    <xf numFmtId="0" fontId="21" fillId="6" borderId="21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21" fillId="6" borderId="22" xfId="0" applyFont="1" applyFill="1" applyBorder="1" applyAlignment="1">
      <alignment horizontal="center" vertical="center"/>
    </xf>
    <xf numFmtId="0" fontId="21" fillId="6" borderId="18" xfId="0" applyFont="1" applyFill="1" applyBorder="1" applyAlignment="1">
      <alignment horizontal="center" vertical="center"/>
    </xf>
    <xf numFmtId="0" fontId="21" fillId="6" borderId="19" xfId="0" applyFont="1" applyFill="1" applyBorder="1" applyAlignment="1">
      <alignment horizontal="center" vertical="center"/>
    </xf>
    <xf numFmtId="0" fontId="21" fillId="6" borderId="29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23" fillId="6" borderId="22" xfId="0" applyFont="1" applyFill="1" applyBorder="1" applyAlignment="1">
      <alignment horizontal="center" vertical="center" wrapText="1"/>
    </xf>
    <xf numFmtId="0" fontId="23" fillId="6" borderId="29" xfId="0" applyFont="1" applyFill="1" applyBorder="1" applyAlignment="1">
      <alignment horizontal="center" vertical="center" wrapText="1"/>
    </xf>
    <xf numFmtId="0" fontId="23" fillId="6" borderId="32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6" borderId="32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7" fillId="6" borderId="22" xfId="0" applyFont="1" applyFill="1" applyBorder="1" applyAlignment="1">
      <alignment horizontal="left" vertical="center" wrapText="1"/>
    </xf>
    <xf numFmtId="165" fontId="8" fillId="7" borderId="31" xfId="0" applyNumberFormat="1" applyFont="1" applyFill="1" applyBorder="1" applyAlignment="1">
      <alignment horizontal="center" vertical="center"/>
    </xf>
    <xf numFmtId="165" fontId="8" fillId="7" borderId="17" xfId="0" applyNumberFormat="1" applyFont="1" applyFill="1" applyBorder="1" applyAlignment="1">
      <alignment horizontal="center" vertical="center"/>
    </xf>
    <xf numFmtId="165" fontId="8" fillId="7" borderId="25" xfId="0" applyNumberFormat="1" applyFont="1" applyFill="1" applyBorder="1" applyAlignment="1">
      <alignment horizontal="center" vertical="center"/>
    </xf>
    <xf numFmtId="165" fontId="8" fillId="7" borderId="26" xfId="0" applyNumberFormat="1" applyFont="1" applyFill="1" applyBorder="1" applyAlignment="1">
      <alignment horizontal="center" vertical="center"/>
    </xf>
    <xf numFmtId="165" fontId="8" fillId="7" borderId="27" xfId="0" applyNumberFormat="1" applyFont="1" applyFill="1" applyBorder="1" applyAlignment="1">
      <alignment horizontal="center" vertical="center"/>
    </xf>
    <xf numFmtId="165" fontId="8" fillId="7" borderId="28" xfId="0" applyNumberFormat="1" applyFont="1" applyFill="1" applyBorder="1" applyAlignment="1">
      <alignment horizontal="center" vertical="center"/>
    </xf>
    <xf numFmtId="165" fontId="8" fillId="8" borderId="27" xfId="0" applyNumberFormat="1" applyFont="1" applyFill="1" applyBorder="1" applyAlignment="1">
      <alignment horizontal="center" vertical="center"/>
    </xf>
    <xf numFmtId="165" fontId="8" fillId="8" borderId="28" xfId="0" applyNumberFormat="1" applyFont="1" applyFill="1" applyBorder="1" applyAlignment="1">
      <alignment horizontal="center" vertical="center"/>
    </xf>
    <xf numFmtId="165" fontId="8" fillId="8" borderId="30" xfId="0" applyNumberFormat="1" applyFont="1" applyFill="1" applyBorder="1" applyAlignment="1">
      <alignment horizontal="center" vertical="center"/>
    </xf>
    <xf numFmtId="165" fontId="8" fillId="8" borderId="20" xfId="0" applyNumberFormat="1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left" vertical="center" wrapText="1"/>
    </xf>
    <xf numFmtId="0" fontId="7" fillId="6" borderId="19" xfId="0" applyFont="1" applyFill="1" applyBorder="1" applyAlignment="1">
      <alignment horizontal="left" vertical="center" wrapText="1"/>
    </xf>
    <xf numFmtId="0" fontId="7" fillId="6" borderId="2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2" fontId="0" fillId="3" borderId="11" xfId="0" applyNumberForma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2" borderId="42" xfId="0" applyFill="1" applyBorder="1" applyAlignment="1" applyProtection="1">
      <alignment horizontal="center" vertical="center" wrapText="1"/>
      <protection hidden="1"/>
    </xf>
    <xf numFmtId="0" fontId="0" fillId="2" borderId="41" xfId="0" applyFill="1" applyBorder="1" applyAlignment="1" applyProtection="1">
      <alignment horizontal="center" vertical="center" wrapText="1"/>
      <protection hidden="1"/>
    </xf>
    <xf numFmtId="0" fontId="16" fillId="16" borderId="42" xfId="0" applyFont="1" applyFill="1" applyBorder="1" applyAlignment="1" applyProtection="1">
      <alignment horizontal="center" vertical="center" wrapText="1"/>
      <protection hidden="1"/>
    </xf>
    <xf numFmtId="0" fontId="16" fillId="16" borderId="44" xfId="0" applyFont="1" applyFill="1" applyBorder="1" applyAlignment="1" applyProtection="1">
      <alignment horizontal="center" vertical="center" wrapText="1"/>
      <protection hidden="1"/>
    </xf>
    <xf numFmtId="0" fontId="16" fillId="16" borderId="41" xfId="0" applyFont="1" applyFill="1" applyBorder="1" applyAlignment="1" applyProtection="1">
      <alignment horizontal="center" vertical="center" wrapText="1"/>
      <protection hidden="1"/>
    </xf>
    <xf numFmtId="165" fontId="11" fillId="14" borderId="38" xfId="0" applyNumberFormat="1" applyFont="1" applyFill="1" applyBorder="1" applyAlignment="1" applyProtection="1">
      <alignment horizontal="center" vertical="center"/>
      <protection hidden="1"/>
    </xf>
    <xf numFmtId="165" fontId="11" fillId="14" borderId="10" xfId="0" applyNumberFormat="1" applyFont="1" applyFill="1" applyBorder="1" applyAlignment="1" applyProtection="1">
      <alignment horizontal="center" vertical="center"/>
      <protection hidden="1"/>
    </xf>
    <xf numFmtId="165" fontId="11" fillId="14" borderId="11" xfId="0" applyNumberFormat="1" applyFont="1" applyFill="1" applyBorder="1" applyAlignment="1" applyProtection="1">
      <alignment horizontal="center" vertical="center"/>
      <protection hidden="1"/>
    </xf>
    <xf numFmtId="165" fontId="11" fillId="14" borderId="7" xfId="0" applyNumberFormat="1" applyFont="1" applyFill="1" applyBorder="1" applyAlignment="1" applyProtection="1">
      <alignment horizontal="center" vertical="center"/>
      <protection hidden="1"/>
    </xf>
    <xf numFmtId="165" fontId="11" fillId="14" borderId="13" xfId="0" applyNumberFormat="1" applyFont="1" applyFill="1" applyBorder="1" applyAlignment="1" applyProtection="1">
      <alignment horizontal="center" vertical="center"/>
      <protection hidden="1"/>
    </xf>
    <xf numFmtId="165" fontId="11" fillId="14" borderId="8" xfId="0" applyNumberFormat="1" applyFont="1" applyFill="1" applyBorder="1" applyAlignment="1" applyProtection="1">
      <alignment horizontal="center" vertical="center"/>
      <protection hidden="1"/>
    </xf>
    <xf numFmtId="0" fontId="9" fillId="12" borderId="38" xfId="0" applyFont="1" applyFill="1" applyBorder="1" applyAlignment="1" applyProtection="1">
      <alignment horizontal="center" vertical="center"/>
      <protection hidden="1"/>
    </xf>
    <xf numFmtId="0" fontId="9" fillId="12" borderId="10" xfId="0" applyFont="1" applyFill="1" applyBorder="1" applyAlignment="1" applyProtection="1">
      <alignment horizontal="center" vertical="center"/>
      <protection hidden="1"/>
    </xf>
    <xf numFmtId="0" fontId="9" fillId="12" borderId="11" xfId="0" applyFont="1" applyFill="1" applyBorder="1" applyAlignment="1" applyProtection="1">
      <alignment horizontal="center" vertical="center"/>
      <protection hidden="1"/>
    </xf>
    <xf numFmtId="0" fontId="9" fillId="12" borderId="7" xfId="0" applyFont="1" applyFill="1" applyBorder="1" applyAlignment="1" applyProtection="1">
      <alignment horizontal="center" vertical="center"/>
      <protection hidden="1"/>
    </xf>
    <xf numFmtId="0" fontId="9" fillId="12" borderId="13" xfId="0" applyFont="1" applyFill="1" applyBorder="1" applyAlignment="1" applyProtection="1">
      <alignment horizontal="center" vertical="center"/>
      <protection hidden="1"/>
    </xf>
    <xf numFmtId="0" fontId="9" fillId="12" borderId="8" xfId="0" applyFont="1" applyFill="1" applyBorder="1" applyAlignment="1" applyProtection="1">
      <alignment horizontal="center" vertical="center"/>
      <protection hidden="1"/>
    </xf>
    <xf numFmtId="0" fontId="0" fillId="2" borderId="42" xfId="0" applyFill="1" applyBorder="1" applyAlignment="1" applyProtection="1">
      <alignment horizontal="center" vertical="center"/>
      <protection hidden="1"/>
    </xf>
    <xf numFmtId="0" fontId="0" fillId="2" borderId="41" xfId="0" applyFill="1" applyBorder="1" applyAlignment="1" applyProtection="1">
      <alignment horizontal="center" vertical="center"/>
      <protection hidden="1"/>
    </xf>
    <xf numFmtId="0" fontId="0" fillId="2" borderId="38" xfId="0" applyFill="1" applyBorder="1" applyAlignment="1" applyProtection="1">
      <alignment horizontal="center" vertical="center" wrapText="1"/>
      <protection hidden="1"/>
    </xf>
    <xf numFmtId="0" fontId="0" fillId="2" borderId="11" xfId="0" applyFill="1" applyBorder="1" applyAlignment="1" applyProtection="1">
      <alignment horizontal="center" vertical="center" wrapText="1"/>
      <protection hidden="1"/>
    </xf>
    <xf numFmtId="0" fontId="0" fillId="2" borderId="7" xfId="0" applyFill="1" applyBorder="1" applyAlignment="1" applyProtection="1">
      <alignment horizontal="center" vertical="center" wrapText="1"/>
      <protection hidden="1"/>
    </xf>
    <xf numFmtId="0" fontId="0" fillId="2" borderId="8" xfId="0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9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43" xfId="0" applyFill="1" applyBorder="1" applyAlignment="1">
      <alignment horizontal="center" vertical="center" wrapText="1"/>
    </xf>
    <xf numFmtId="0" fontId="10" fillId="13" borderId="7" xfId="0" applyFont="1" applyFill="1" applyBorder="1" applyAlignment="1" applyProtection="1">
      <alignment horizontal="center" vertical="center"/>
      <protection hidden="1"/>
    </xf>
    <xf numFmtId="0" fontId="10" fillId="13" borderId="13" xfId="0" applyFont="1" applyFill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 textRotation="90"/>
      <protection hidden="1"/>
    </xf>
    <xf numFmtId="0" fontId="15" fillId="15" borderId="1" xfId="0" applyFont="1" applyFill="1" applyBorder="1" applyAlignment="1" applyProtection="1">
      <alignment horizontal="center"/>
      <protection hidden="1"/>
    </xf>
    <xf numFmtId="0" fontId="15" fillId="15" borderId="9" xfId="0" applyFont="1" applyFill="1" applyBorder="1" applyAlignment="1" applyProtection="1">
      <alignment horizontal="center"/>
      <protection hidden="1"/>
    </xf>
    <xf numFmtId="0" fontId="15" fillId="15" borderId="2" xfId="0" applyFont="1" applyFill="1" applyBorder="1" applyAlignment="1" applyProtection="1">
      <alignment horizontal="center"/>
      <protection hidden="1"/>
    </xf>
    <xf numFmtId="0" fontId="16" fillId="16" borderId="38" xfId="0" applyFont="1" applyFill="1" applyBorder="1" applyAlignment="1" applyProtection="1">
      <alignment horizontal="center" vertical="center" wrapText="1"/>
      <protection hidden="1"/>
    </xf>
    <xf numFmtId="0" fontId="16" fillId="16" borderId="10" xfId="0" applyFont="1" applyFill="1" applyBorder="1" applyAlignment="1" applyProtection="1">
      <alignment horizontal="center" vertical="center" wrapText="1"/>
      <protection hidden="1"/>
    </xf>
    <xf numFmtId="0" fontId="16" fillId="16" borderId="11" xfId="0" applyFont="1" applyFill="1" applyBorder="1" applyAlignment="1" applyProtection="1">
      <alignment horizontal="center" vertical="center" wrapText="1"/>
      <protection hidden="1"/>
    </xf>
    <xf numFmtId="0" fontId="16" fillId="16" borderId="7" xfId="0" applyFont="1" applyFill="1" applyBorder="1" applyAlignment="1" applyProtection="1">
      <alignment horizontal="center" vertical="center" wrapText="1"/>
      <protection hidden="1"/>
    </xf>
    <xf numFmtId="0" fontId="16" fillId="16" borderId="13" xfId="0" applyFont="1" applyFill="1" applyBorder="1" applyAlignment="1" applyProtection="1">
      <alignment horizontal="center" vertical="center" wrapText="1"/>
      <protection hidden="1"/>
    </xf>
    <xf numFmtId="0" fontId="16" fillId="16" borderId="8" xfId="0" applyFont="1" applyFill="1" applyBorder="1" applyAlignment="1" applyProtection="1">
      <alignment horizontal="center" vertical="center" wrapText="1"/>
      <protection hidden="1"/>
    </xf>
    <xf numFmtId="0" fontId="18" fillId="2" borderId="1" xfId="0" applyFont="1" applyFill="1" applyBorder="1" applyAlignment="1" applyProtection="1">
      <alignment horizontal="center" vertical="center" wrapText="1"/>
      <protection hidden="1"/>
    </xf>
    <xf numFmtId="0" fontId="18" fillId="2" borderId="9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  <protection hidden="1"/>
    </xf>
    <xf numFmtId="166" fontId="8" fillId="10" borderId="31" xfId="0" applyNumberFormat="1" applyFont="1" applyFill="1" applyBorder="1" applyAlignment="1" applyProtection="1">
      <alignment horizontal="center" vertical="center"/>
      <protection locked="0"/>
    </xf>
    <xf numFmtId="166" fontId="8" fillId="10" borderId="32" xfId="0" applyNumberFormat="1" applyFont="1" applyFill="1" applyBorder="1" applyAlignment="1" applyProtection="1">
      <alignment horizontal="center" vertical="center"/>
      <protection locked="0"/>
    </xf>
    <xf numFmtId="165" fontId="8" fillId="9" borderId="31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16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17" xfId="0" applyNumberFormat="1" applyFont="1" applyFill="1" applyBorder="1" applyAlignment="1" applyProtection="1">
      <alignment horizontal="center" vertical="center" wrapText="1"/>
      <protection locked="0"/>
    </xf>
    <xf numFmtId="166" fontId="8" fillId="10" borderId="25" xfId="0" applyNumberFormat="1" applyFont="1" applyFill="1" applyBorder="1" applyAlignment="1" applyProtection="1">
      <alignment horizontal="center" vertical="center"/>
      <protection locked="0"/>
    </xf>
    <xf numFmtId="166" fontId="8" fillId="10" borderId="34" xfId="0" applyNumberFormat="1" applyFont="1" applyFill="1" applyBorder="1" applyAlignment="1" applyProtection="1">
      <alignment horizontal="center" vertical="center"/>
      <protection locked="0"/>
    </xf>
    <xf numFmtId="165" fontId="8" fillId="9" borderId="25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12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26" xfId="0" applyNumberFormat="1" applyFont="1" applyFill="1" applyBorder="1" applyAlignment="1" applyProtection="1">
      <alignment horizontal="center" vertical="center" wrapText="1"/>
      <protection locked="0"/>
    </xf>
    <xf numFmtId="166" fontId="8" fillId="10" borderId="27" xfId="0" applyNumberFormat="1" applyFont="1" applyFill="1" applyBorder="1" applyAlignment="1" applyProtection="1">
      <alignment horizontal="center" vertical="center"/>
      <protection locked="0"/>
    </xf>
    <xf numFmtId="166" fontId="8" fillId="10" borderId="33" xfId="0" applyNumberFormat="1" applyFont="1" applyFill="1" applyBorder="1" applyAlignment="1" applyProtection="1">
      <alignment horizontal="center" vertical="center"/>
      <protection locked="0"/>
    </xf>
    <xf numFmtId="165" fontId="8" fillId="9" borderId="27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33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28" xfId="0" applyNumberFormat="1" applyFont="1" applyFill="1" applyBorder="1" applyAlignment="1" applyProtection="1">
      <alignment horizontal="center" vertical="center" wrapText="1"/>
      <protection locked="0"/>
    </xf>
    <xf numFmtId="166" fontId="8" fillId="10" borderId="12" xfId="0" applyNumberFormat="1" applyFont="1" applyFill="1" applyBorder="1" applyAlignment="1" applyProtection="1">
      <alignment horizontal="center" vertical="center"/>
      <protection locked="0"/>
    </xf>
    <xf numFmtId="166" fontId="8" fillId="10" borderId="27" xfId="0" applyNumberFormat="1" applyFont="1" applyFill="1" applyBorder="1" applyAlignment="1" applyProtection="1">
      <alignment horizontal="center" vertical="center" wrapText="1"/>
      <protection locked="0"/>
    </xf>
    <xf numFmtId="166" fontId="8" fillId="10" borderId="33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23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0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24" xfId="0" applyNumberFormat="1" applyFont="1" applyFill="1" applyBorder="1" applyAlignment="1" applyProtection="1">
      <alignment horizontal="center" vertical="center" wrapText="1"/>
      <protection locked="0"/>
    </xf>
    <xf numFmtId="166" fontId="8" fillId="10" borderId="30" xfId="0" applyNumberFormat="1" applyFont="1" applyFill="1" applyBorder="1" applyAlignment="1" applyProtection="1">
      <alignment horizontal="center" vertical="center" wrapText="1"/>
      <protection locked="0"/>
    </xf>
    <xf numFmtId="166" fontId="8" fillId="10" borderId="19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30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19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20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40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39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13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35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38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10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36" xfId="0" applyNumberFormat="1" applyFont="1" applyFill="1" applyBorder="1" applyAlignment="1" applyProtection="1">
      <alignment horizontal="center" vertical="center" wrapText="1"/>
      <protection locked="0"/>
    </xf>
    <xf numFmtId="165" fontId="8" fillId="9" borderId="3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0" xfId="0" applyFont="1" applyFill="1" applyBorder="1" applyAlignment="1">
      <alignment horizontal="center" vertical="center"/>
    </xf>
  </cellXfs>
  <cellStyles count="3">
    <cellStyle name="Dziesiętny" xfId="2" builtinId="3"/>
    <cellStyle name="Dziesiętny 2" xfId="1" xr:uid="{2E974AFA-3F73-48AB-A924-BAAF43F1FC6E}"/>
    <cellStyle name="Normalny" xfId="0" builtinId="0"/>
  </cellStyles>
  <dxfs count="3">
    <dxf>
      <font>
        <color rgb="FF9C0006"/>
      </font>
      <fill>
        <patternFill>
          <bgColor rgb="FFFFC7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</xdr:row>
      <xdr:rowOff>2</xdr:rowOff>
    </xdr:from>
    <xdr:to>
      <xdr:col>25</xdr:col>
      <xdr:colOff>601014</xdr:colOff>
      <xdr:row>27</xdr:row>
      <xdr:rowOff>42929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5A59AF89-A48D-1F46-56FC-E7EC53F5426C}"/>
            </a:ext>
          </a:extLst>
        </xdr:cNvPr>
        <xdr:cNvSpPr txBox="1"/>
      </xdr:nvSpPr>
      <xdr:spPr>
        <a:xfrm>
          <a:off x="7705859" y="965917"/>
          <a:ext cx="8693240" cy="4292956"/>
        </a:xfrm>
        <a:prstGeom prst="rect">
          <a:avLst/>
        </a:prstGeom>
        <a:solidFill>
          <a:schemeClr val="lt1"/>
        </a:solidFill>
        <a:ln w="19050" cmpd="sng">
          <a:solidFill>
            <a:schemeClr val="tx1">
              <a:lumMod val="95000"/>
              <a:lumOff val="5000"/>
            </a:schemeClr>
          </a:solidFill>
          <a:extLst>
            <a:ext uri="{C807C97D-BFC1-408E-A445-0C87EB9F89A2}">
              <ask:lineSketchStyleProps xmlns:ask="http://schemas.microsoft.com/office/drawing/2018/sketchyshapes" sd="1331252988">
                <a:custGeom>
                  <a:avLst/>
                  <a:gdLst>
                    <a:gd name="connsiteX0" fmla="*/ 0 w 7566338"/>
                    <a:gd name="connsiteY0" fmla="*/ 0 h 2446986"/>
                    <a:gd name="connsiteX1" fmla="*/ 7566338 w 7566338"/>
                    <a:gd name="connsiteY1" fmla="*/ 0 h 2446986"/>
                    <a:gd name="connsiteX2" fmla="*/ 7566338 w 7566338"/>
                    <a:gd name="connsiteY2" fmla="*/ 2446986 h 2446986"/>
                    <a:gd name="connsiteX3" fmla="*/ 0 w 7566338"/>
                    <a:gd name="connsiteY3" fmla="*/ 2446986 h 2446986"/>
                    <a:gd name="connsiteX4" fmla="*/ 0 w 7566338"/>
                    <a:gd name="connsiteY4" fmla="*/ 0 h 244698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7566338" h="2446986" fill="none" extrusionOk="0">
                      <a:moveTo>
                        <a:pt x="0" y="0"/>
                      </a:moveTo>
                      <a:cubicBezTo>
                        <a:pt x="2111153" y="-29222"/>
                        <a:pt x="5576127" y="-105265"/>
                        <a:pt x="7566338" y="0"/>
                      </a:cubicBezTo>
                      <a:cubicBezTo>
                        <a:pt x="7595429" y="561186"/>
                        <a:pt x="7701198" y="1503949"/>
                        <a:pt x="7566338" y="2446986"/>
                      </a:cubicBezTo>
                      <a:cubicBezTo>
                        <a:pt x="5211721" y="2336610"/>
                        <a:pt x="912842" y="2369445"/>
                        <a:pt x="0" y="2446986"/>
                      </a:cubicBezTo>
                      <a:cubicBezTo>
                        <a:pt x="35724" y="1966904"/>
                        <a:pt x="10807" y="368526"/>
                        <a:pt x="0" y="0"/>
                      </a:cubicBezTo>
                      <a:close/>
                    </a:path>
                    <a:path w="7566338" h="2446986" stroke="0" extrusionOk="0">
                      <a:moveTo>
                        <a:pt x="0" y="0"/>
                      </a:moveTo>
                      <a:cubicBezTo>
                        <a:pt x="2935291" y="-91758"/>
                        <a:pt x="4440836" y="31731"/>
                        <a:pt x="7566338" y="0"/>
                      </a:cubicBezTo>
                      <a:cubicBezTo>
                        <a:pt x="7472449" y="595538"/>
                        <a:pt x="7416956" y="1296457"/>
                        <a:pt x="7566338" y="2446986"/>
                      </a:cubicBezTo>
                      <a:cubicBezTo>
                        <a:pt x="6252191" y="2285959"/>
                        <a:pt x="2911574" y="2338506"/>
                        <a:pt x="0" y="2446986"/>
                      </a:cubicBezTo>
                      <a:cubicBezTo>
                        <a:pt x="-95387" y="1341405"/>
                        <a:pt x="72338" y="369669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400" b="1" u="sng">
              <a:latin typeface="Cambria" panose="02040503050406030204" pitchFamily="18" charset="0"/>
              <a:ea typeface="Cambria" panose="02040503050406030204" pitchFamily="18" charset="0"/>
            </a:rPr>
            <a:t>Instrukcja:</a:t>
          </a:r>
        </a:p>
        <a:p>
          <a:pPr>
            <a:spcBef>
              <a:spcPts val="800"/>
            </a:spcBef>
          </a:pPr>
          <a:r>
            <a:rPr lang="pl-PL" sz="1400">
              <a:latin typeface="Cambria" panose="02040503050406030204" pitchFamily="18" charset="0"/>
              <a:ea typeface="Cambria" panose="02040503050406030204" pitchFamily="18" charset="0"/>
            </a:rPr>
            <a:t>1.</a:t>
          </a:r>
          <a:r>
            <a:rPr lang="pl-PL" sz="1400" baseline="0">
              <a:latin typeface="Cambria" panose="02040503050406030204" pitchFamily="18" charset="0"/>
              <a:ea typeface="Cambria" panose="02040503050406030204" pitchFamily="18" charset="0"/>
            </a:rPr>
            <a:t> </a:t>
          </a:r>
          <a:r>
            <a:rPr lang="pl-PL" sz="1400">
              <a:latin typeface="Cambria" panose="02040503050406030204" pitchFamily="18" charset="0"/>
              <a:ea typeface="Cambria" panose="02040503050406030204" pitchFamily="18" charset="0"/>
            </a:rPr>
            <a:t>Podaj </a:t>
          </a:r>
          <a:r>
            <a:rPr lang="pl-PL" sz="1400" baseline="0">
              <a:latin typeface="Cambria" panose="02040503050406030204" pitchFamily="18" charset="0"/>
              <a:ea typeface="Cambria" panose="02040503050406030204" pitchFamily="18" charset="0"/>
            </a:rPr>
            <a:t>kwotę miesięcznych przychodów i kosztów uzyskania przychodu, wybierz z listy odpowiednie stawki ryczałtu (możesz podać maksymalnie trzy rodzaje przychodów, opodatkowane różnymi stawkami ryczałtu).</a:t>
          </a:r>
        </a:p>
        <a:p>
          <a:pPr>
            <a:spcBef>
              <a:spcPts val="800"/>
            </a:spcBef>
          </a:pPr>
          <a:r>
            <a:rPr lang="pl-PL" sz="1400" baseline="0">
              <a:latin typeface="Cambria" panose="02040503050406030204" pitchFamily="18" charset="0"/>
              <a:ea typeface="Cambria" panose="02040503050406030204" pitchFamily="18" charset="0"/>
            </a:rPr>
            <a:t>2. Uzupełnij (wybierz z listy) informacje dodatkowe dotyczące ubezpieczenia społecznego.</a:t>
          </a:r>
        </a:p>
        <a:p>
          <a:pPr>
            <a:spcBef>
              <a:spcPts val="800"/>
            </a:spcBef>
          </a:pPr>
          <a:r>
            <a:rPr lang="pl-PL" sz="1400" baseline="0">
              <a:latin typeface="Cambria" panose="02040503050406030204" pitchFamily="18" charset="0"/>
              <a:ea typeface="Cambria" panose="02040503050406030204" pitchFamily="18" charset="0"/>
            </a:rPr>
            <a:t>3. Podaj kwotę, o którą zwiększyła się twoja podstawa opodatkowania w związku z pozostałymi dochodami opodatkowanymi wg skali osiągniętymi w 2022 r. (w wypadku dochodów z umowy o pracę będzie to kwota brutto pomniejszona o składki na ubezpieczenie społeczne). Jeśli nie osiągniesz w 2022 r. innych dochodów opodatkowanych wg skali, pozostaw 0 zł.</a:t>
          </a:r>
        </a:p>
        <a:p>
          <a:pPr>
            <a:spcBef>
              <a:spcPts val="800"/>
            </a:spcBef>
          </a:pPr>
          <a:r>
            <a:rPr lang="pl-PL" sz="1400" baseline="0">
              <a:latin typeface="Cambria" panose="02040503050406030204" pitchFamily="18" charset="0"/>
              <a:ea typeface="Cambria" panose="02040503050406030204" pitchFamily="18" charset="0"/>
            </a:rPr>
            <a:t>4. W tabeli "Wyniki – dochód netto za 2022 r." pokaże się dochód netto za cały rok wyliczony dla każdego z trzech scenariuszy. W arkuszu "Podsumowanie" znajdziesz bardziej szczegółowe informacje dotyczące obciążeń podatkowych i składkowych.</a:t>
          </a:r>
        </a:p>
        <a:p>
          <a:pPr>
            <a:spcBef>
              <a:spcPts val="800"/>
            </a:spcBef>
          </a:pPr>
          <a:endParaRPr lang="pl-PL" sz="1400" baseline="0">
            <a:latin typeface="Cambria" panose="02040503050406030204" pitchFamily="18" charset="0"/>
            <a:ea typeface="Cambria" panose="02040503050406030204" pitchFamily="18" charset="0"/>
          </a:endParaRPr>
        </a:p>
        <a:p>
          <a:pPr>
            <a:spcBef>
              <a:spcPts val="800"/>
            </a:spcBef>
          </a:pPr>
          <a:r>
            <a:rPr lang="pl-PL" sz="1400" b="1" i="0" u="sng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Nota prawna:</a:t>
          </a:r>
          <a:endParaRPr lang="pl-PL" sz="1400" b="1" i="0" u="sng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pPr>
            <a:spcBef>
              <a:spcPts val="800"/>
            </a:spcBef>
          </a:pPr>
          <a:r>
            <a:rPr lang="pl-PL" sz="1400" b="0" i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Niniejszy kalkulator ma charakter informacyjny i nie stanowi usługi doradztwa podatkowego w rozumieniu ustawy z dnia 5 lipca 1996 o doradztwie podatkowym. W razie wątpliwości, należy zasięgnąć opinii doradcy podatkowego.</a:t>
          </a:r>
          <a:endParaRPr lang="pl-PL" sz="1400" baseline="0"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623FE-D8B4-4D27-A929-222CB8A7DAC2}">
  <dimension ref="A1:Z68"/>
  <sheetViews>
    <sheetView showGridLines="0" tabSelected="1" topLeftCell="A7" zoomScale="71" zoomScaleNormal="71" workbookViewId="0">
      <selection activeCell="H14" sqref="H14:J15"/>
    </sheetView>
  </sheetViews>
  <sheetFormatPr defaultColWidth="9.109375" defaultRowHeight="14.4" x14ac:dyDescent="0.3"/>
  <cols>
    <col min="1" max="1" width="9.109375" style="18" customWidth="1"/>
    <col min="2" max="4" width="9.109375" style="18"/>
    <col min="5" max="6" width="9.109375" style="18" customWidth="1"/>
    <col min="7" max="8" width="9.109375" style="18"/>
    <col min="9" max="9" width="11" style="18" bestFit="1" customWidth="1"/>
    <col min="10" max="10" width="10.6640625" style="18" customWidth="1"/>
    <col min="11" max="11" width="9.109375" style="18"/>
    <col min="12" max="12" width="9.109375" style="18" customWidth="1"/>
    <col min="13" max="16384" width="9.109375" style="18"/>
  </cols>
  <sheetData>
    <row r="1" spans="1:10" ht="16.05" customHeight="1" thickBot="1" x14ac:dyDescent="0.35">
      <c r="A1" s="17"/>
      <c r="B1" s="17"/>
      <c r="C1" s="17"/>
      <c r="D1" s="17"/>
      <c r="E1" s="17"/>
      <c r="F1" s="17"/>
      <c r="G1" s="17"/>
      <c r="H1" s="17"/>
      <c r="I1" s="17"/>
    </row>
    <row r="2" spans="1:10" ht="16.05" customHeight="1" x14ac:dyDescent="0.3">
      <c r="A2" s="115" t="s">
        <v>29</v>
      </c>
      <c r="B2" s="116"/>
      <c r="C2" s="116"/>
      <c r="D2" s="116"/>
      <c r="E2" s="116"/>
      <c r="F2" s="116"/>
      <c r="G2" s="116"/>
      <c r="H2" s="116"/>
      <c r="I2" s="116"/>
      <c r="J2" s="117"/>
    </row>
    <row r="3" spans="1:10" ht="16.05" customHeight="1" thickBot="1" x14ac:dyDescent="0.35">
      <c r="A3" s="118"/>
      <c r="B3" s="119"/>
      <c r="C3" s="119"/>
      <c r="D3" s="119"/>
      <c r="E3" s="119"/>
      <c r="F3" s="119"/>
      <c r="G3" s="119"/>
      <c r="H3" s="119"/>
      <c r="I3" s="119"/>
      <c r="J3" s="120"/>
    </row>
    <row r="4" spans="1:10" ht="16.05" customHeight="1" x14ac:dyDescent="0.3">
      <c r="A4" s="17"/>
      <c r="B4" s="17"/>
      <c r="C4" s="17"/>
      <c r="D4" s="17"/>
      <c r="E4" s="17"/>
      <c r="F4" s="17"/>
      <c r="G4" s="17"/>
      <c r="H4" s="17"/>
      <c r="I4" s="17"/>
    </row>
    <row r="5" spans="1:10" ht="16.05" customHeight="1" thickBot="1" x14ac:dyDescent="0.35"/>
    <row r="6" spans="1:10" ht="16.05" customHeight="1" x14ac:dyDescent="0.3">
      <c r="A6" s="83" t="s">
        <v>30</v>
      </c>
      <c r="B6" s="84"/>
      <c r="C6" s="84"/>
      <c r="D6" s="84"/>
      <c r="E6" s="84"/>
      <c r="F6" s="84"/>
      <c r="G6" s="84"/>
      <c r="H6" s="84"/>
      <c r="I6" s="84"/>
      <c r="J6" s="85"/>
    </row>
    <row r="7" spans="1:10" ht="16.05" customHeight="1" thickBot="1" x14ac:dyDescent="0.35">
      <c r="A7" s="86"/>
      <c r="B7" s="87"/>
      <c r="C7" s="87"/>
      <c r="D7" s="87"/>
      <c r="E7" s="87"/>
      <c r="F7" s="87"/>
      <c r="G7" s="87"/>
      <c r="H7" s="87"/>
      <c r="I7" s="87"/>
      <c r="J7" s="88"/>
    </row>
    <row r="8" spans="1:10" ht="16.05" customHeight="1" x14ac:dyDescent="0.3">
      <c r="A8" s="53"/>
      <c r="B8" s="53"/>
      <c r="C8" s="53"/>
      <c r="D8" s="53"/>
      <c r="E8" s="54"/>
      <c r="F8" s="84" t="s">
        <v>31</v>
      </c>
      <c r="G8" s="84"/>
      <c r="H8" s="84" t="s">
        <v>82</v>
      </c>
      <c r="I8" s="84"/>
      <c r="J8" s="85"/>
    </row>
    <row r="9" spans="1:10" ht="16.05" customHeight="1" thickBot="1" x14ac:dyDescent="0.35">
      <c r="A9" s="53"/>
      <c r="B9" s="53"/>
      <c r="C9" s="53"/>
      <c r="D9" s="53"/>
      <c r="E9" s="55"/>
      <c r="F9" s="87"/>
      <c r="G9" s="87"/>
      <c r="H9" s="87"/>
      <c r="I9" s="87"/>
      <c r="J9" s="88"/>
    </row>
    <row r="10" spans="1:10" ht="16.05" customHeight="1" x14ac:dyDescent="0.3">
      <c r="A10" s="79" t="s">
        <v>83</v>
      </c>
      <c r="B10" s="80"/>
      <c r="C10" s="80"/>
      <c r="D10" s="80"/>
      <c r="E10" s="123"/>
      <c r="F10" s="192">
        <v>8.5000000000000006E-2</v>
      </c>
      <c r="G10" s="193"/>
      <c r="H10" s="194">
        <v>9000</v>
      </c>
      <c r="I10" s="195"/>
      <c r="J10" s="196"/>
    </row>
    <row r="11" spans="1:10" ht="16.05" customHeight="1" thickBot="1" x14ac:dyDescent="0.35">
      <c r="A11" s="90"/>
      <c r="B11" s="91"/>
      <c r="C11" s="91"/>
      <c r="D11" s="91"/>
      <c r="E11" s="121"/>
      <c r="F11" s="197"/>
      <c r="G11" s="198"/>
      <c r="H11" s="199"/>
      <c r="I11" s="200"/>
      <c r="J11" s="201"/>
    </row>
    <row r="12" spans="1:10" ht="16.05" customHeight="1" thickTop="1" x14ac:dyDescent="0.3">
      <c r="A12" s="90" t="s">
        <v>84</v>
      </c>
      <c r="B12" s="91"/>
      <c r="C12" s="91"/>
      <c r="D12" s="91"/>
      <c r="E12" s="121"/>
      <c r="F12" s="202"/>
      <c r="G12" s="203"/>
      <c r="H12" s="204">
        <v>0</v>
      </c>
      <c r="I12" s="205"/>
      <c r="J12" s="206"/>
    </row>
    <row r="13" spans="1:10" ht="16.05" customHeight="1" thickBot="1" x14ac:dyDescent="0.35">
      <c r="A13" s="90"/>
      <c r="B13" s="91"/>
      <c r="C13" s="91"/>
      <c r="D13" s="91"/>
      <c r="E13" s="121"/>
      <c r="F13" s="197"/>
      <c r="G13" s="207"/>
      <c r="H13" s="199"/>
      <c r="I13" s="200"/>
      <c r="J13" s="201"/>
    </row>
    <row r="14" spans="1:10" ht="16.05" customHeight="1" thickTop="1" x14ac:dyDescent="0.3">
      <c r="A14" s="90" t="s">
        <v>85</v>
      </c>
      <c r="B14" s="91"/>
      <c r="C14" s="91"/>
      <c r="D14" s="91"/>
      <c r="E14" s="121"/>
      <c r="F14" s="208"/>
      <c r="G14" s="209"/>
      <c r="H14" s="210"/>
      <c r="I14" s="211"/>
      <c r="J14" s="212"/>
    </row>
    <row r="15" spans="1:10" ht="16.05" customHeight="1" thickBot="1" x14ac:dyDescent="0.35">
      <c r="A15" s="81"/>
      <c r="B15" s="82"/>
      <c r="C15" s="82"/>
      <c r="D15" s="82"/>
      <c r="E15" s="122"/>
      <c r="F15" s="213"/>
      <c r="G15" s="214"/>
      <c r="H15" s="215"/>
      <c r="I15" s="216"/>
      <c r="J15" s="217"/>
    </row>
    <row r="16" spans="1:10" ht="16.05" customHeight="1" x14ac:dyDescent="0.3">
      <c r="A16" s="17"/>
      <c r="B16" s="17"/>
      <c r="C16" s="17"/>
      <c r="D16" s="22"/>
      <c r="E16" s="17"/>
      <c r="F16" s="17"/>
      <c r="G16" s="17"/>
      <c r="H16" s="17"/>
      <c r="I16" s="17"/>
      <c r="J16" s="23"/>
    </row>
    <row r="17" spans="1:26" ht="16.05" customHeight="1" thickBot="1" x14ac:dyDescent="0.35">
      <c r="A17" s="17"/>
      <c r="B17" s="17"/>
      <c r="C17" s="17"/>
      <c r="D17" s="22"/>
      <c r="E17" s="22"/>
      <c r="F17" s="22"/>
      <c r="G17" s="22"/>
      <c r="H17" s="22"/>
      <c r="I17" s="22"/>
      <c r="J17" s="24"/>
    </row>
    <row r="18" spans="1:26" ht="16.05" customHeight="1" x14ac:dyDescent="0.3">
      <c r="A18" s="83" t="s">
        <v>33</v>
      </c>
      <c r="B18" s="84"/>
      <c r="C18" s="84"/>
      <c r="D18" s="84"/>
      <c r="E18" s="84"/>
      <c r="F18" s="84"/>
      <c r="G18" s="84"/>
      <c r="H18" s="84"/>
      <c r="I18" s="84"/>
      <c r="J18" s="85"/>
    </row>
    <row r="19" spans="1:26" ht="16.05" customHeight="1" thickBot="1" x14ac:dyDescent="0.35">
      <c r="A19" s="86"/>
      <c r="B19" s="87"/>
      <c r="C19" s="87"/>
      <c r="D19" s="87"/>
      <c r="E19" s="87"/>
      <c r="F19" s="87"/>
      <c r="G19" s="87"/>
      <c r="H19" s="87"/>
      <c r="I19" s="87"/>
      <c r="J19" s="88"/>
    </row>
    <row r="20" spans="1:26" ht="16.05" customHeight="1" x14ac:dyDescent="0.3">
      <c r="A20" s="79" t="s">
        <v>124</v>
      </c>
      <c r="B20" s="80"/>
      <c r="C20" s="80"/>
      <c r="D20" s="80"/>
      <c r="E20" s="80"/>
      <c r="F20" s="80"/>
      <c r="G20" s="80"/>
      <c r="H20" s="218">
        <v>1000</v>
      </c>
      <c r="I20" s="195"/>
      <c r="J20" s="196"/>
    </row>
    <row r="21" spans="1:26" ht="16.05" customHeight="1" thickBot="1" x14ac:dyDescent="0.35">
      <c r="A21" s="81"/>
      <c r="B21" s="82"/>
      <c r="C21" s="82"/>
      <c r="D21" s="82"/>
      <c r="E21" s="82"/>
      <c r="F21" s="82"/>
      <c r="G21" s="82"/>
      <c r="H21" s="219"/>
      <c r="I21" s="216"/>
      <c r="J21" s="217"/>
    </row>
    <row r="22" spans="1:26" ht="16.05" customHeight="1" x14ac:dyDescent="0.3">
      <c r="A22" s="17"/>
      <c r="B22" s="17"/>
      <c r="C22" s="17"/>
      <c r="D22" s="22"/>
      <c r="E22" s="17"/>
      <c r="F22" s="17"/>
      <c r="G22" s="22"/>
      <c r="H22" s="17"/>
      <c r="I22" s="17"/>
      <c r="J22" s="24"/>
    </row>
    <row r="23" spans="1:26" ht="16.05" customHeight="1" thickBot="1" x14ac:dyDescent="0.35">
      <c r="A23" s="17"/>
      <c r="B23" s="17"/>
      <c r="C23" s="17"/>
      <c r="D23" s="22"/>
      <c r="E23" s="17"/>
      <c r="F23" s="17"/>
      <c r="G23" s="22"/>
      <c r="H23" s="17"/>
      <c r="I23" s="17"/>
      <c r="J23" s="24"/>
    </row>
    <row r="24" spans="1:26" ht="16.05" customHeight="1" x14ac:dyDescent="0.3">
      <c r="A24" s="83" t="s">
        <v>34</v>
      </c>
      <c r="B24" s="84"/>
      <c r="C24" s="84"/>
      <c r="D24" s="84"/>
      <c r="E24" s="84"/>
      <c r="F24" s="84"/>
      <c r="G24" s="84"/>
      <c r="H24" s="84"/>
      <c r="I24" s="84"/>
      <c r="J24" s="85"/>
    </row>
    <row r="25" spans="1:26" ht="16.05" customHeight="1" thickBot="1" x14ac:dyDescent="0.35">
      <c r="A25" s="86"/>
      <c r="B25" s="87"/>
      <c r="C25" s="87"/>
      <c r="D25" s="87"/>
      <c r="E25" s="87"/>
      <c r="F25" s="87"/>
      <c r="G25" s="87"/>
      <c r="H25" s="87"/>
      <c r="I25" s="87"/>
      <c r="J25" s="88"/>
    </row>
    <row r="26" spans="1:26" ht="16.05" customHeight="1" x14ac:dyDescent="0.3">
      <c r="A26" s="79" t="s">
        <v>88</v>
      </c>
      <c r="B26" s="80"/>
      <c r="C26" s="80"/>
      <c r="D26" s="80"/>
      <c r="E26" s="80"/>
      <c r="F26" s="80"/>
      <c r="G26" s="89"/>
      <c r="H26" s="195" t="s">
        <v>89</v>
      </c>
      <c r="I26" s="195"/>
      <c r="J26" s="196"/>
    </row>
    <row r="27" spans="1:26" ht="16.05" customHeight="1" x14ac:dyDescent="0.3">
      <c r="A27" s="90"/>
      <c r="B27" s="91"/>
      <c r="C27" s="91"/>
      <c r="D27" s="91"/>
      <c r="E27" s="91"/>
      <c r="F27" s="91"/>
      <c r="G27" s="92"/>
      <c r="H27" s="220"/>
      <c r="I27" s="220"/>
      <c r="J27" s="221"/>
    </row>
    <row r="28" spans="1:26" ht="16.05" customHeight="1" x14ac:dyDescent="0.3">
      <c r="A28" s="90" t="s">
        <v>35</v>
      </c>
      <c r="B28" s="91"/>
      <c r="C28" s="91"/>
      <c r="D28" s="91"/>
      <c r="E28" s="91"/>
      <c r="F28" s="91"/>
      <c r="G28" s="92"/>
      <c r="H28" s="222" t="s">
        <v>25</v>
      </c>
      <c r="I28" s="223"/>
      <c r="J28" s="224"/>
    </row>
    <row r="29" spans="1:26" ht="16.05" customHeight="1" x14ac:dyDescent="0.3">
      <c r="A29" s="90"/>
      <c r="B29" s="91"/>
      <c r="C29" s="91"/>
      <c r="D29" s="91"/>
      <c r="E29" s="91"/>
      <c r="F29" s="91"/>
      <c r="G29" s="92"/>
      <c r="H29" s="225"/>
      <c r="I29" s="211"/>
      <c r="J29" s="212"/>
    </row>
    <row r="30" spans="1:26" ht="18" customHeight="1" x14ac:dyDescent="0.3">
      <c r="A30" s="91" t="s">
        <v>96</v>
      </c>
      <c r="B30" s="91"/>
      <c r="C30" s="91"/>
      <c r="D30" s="91"/>
      <c r="E30" s="91"/>
      <c r="F30" s="91"/>
      <c r="G30" s="92"/>
      <c r="H30" s="222">
        <v>0</v>
      </c>
      <c r="I30" s="223"/>
      <c r="J30" s="224"/>
      <c r="M30" s="226" t="str">
        <f>IF(OR(AND(H10&lt;&gt;0,OR(F10="",F10=0)),AND(H12&lt;&gt;0,OR(F12="",F12=0)),AND(H14&lt;&gt;0,OR(F14="",F14=0))),"Uzupełnij brakującą stawkę ryczałtu!","")</f>
        <v/>
      </c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Y30" s="226"/>
      <c r="Z30" s="226"/>
    </row>
    <row r="31" spans="1:26" ht="18" customHeight="1" thickBot="1" x14ac:dyDescent="0.35">
      <c r="A31" s="82"/>
      <c r="B31" s="82"/>
      <c r="C31" s="82"/>
      <c r="D31" s="82"/>
      <c r="E31" s="82"/>
      <c r="F31" s="82"/>
      <c r="G31" s="96"/>
      <c r="H31" s="219"/>
      <c r="I31" s="216"/>
      <c r="J31" s="217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</row>
    <row r="32" spans="1:26" ht="16.05" customHeight="1" x14ac:dyDescent="0.3">
      <c r="A32" s="17"/>
      <c r="B32" s="17"/>
      <c r="C32" s="17"/>
      <c r="D32" s="22"/>
      <c r="E32" s="17"/>
      <c r="F32" s="17"/>
      <c r="G32" s="22"/>
      <c r="H32" s="17"/>
      <c r="I32" s="17"/>
      <c r="J32" s="24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</row>
    <row r="33" spans="1:26" ht="16.05" customHeight="1" thickBot="1" x14ac:dyDescent="0.35">
      <c r="A33" s="17"/>
      <c r="B33" s="17"/>
      <c r="C33" s="17"/>
      <c r="D33" s="22"/>
      <c r="E33" s="17"/>
      <c r="F33" s="17"/>
      <c r="G33" s="22"/>
      <c r="H33" s="17"/>
      <c r="I33" s="17"/>
      <c r="J33" s="24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</row>
    <row r="34" spans="1:26" ht="15" customHeight="1" x14ac:dyDescent="0.3">
      <c r="A34" s="83" t="s">
        <v>122</v>
      </c>
      <c r="B34" s="84"/>
      <c r="C34" s="84"/>
      <c r="D34" s="84"/>
      <c r="E34" s="84"/>
      <c r="F34" s="84"/>
      <c r="G34" s="84"/>
      <c r="H34" s="84"/>
      <c r="I34" s="84"/>
      <c r="J34" s="85"/>
    </row>
    <row r="35" spans="1:26" ht="15" customHeight="1" thickBot="1" x14ac:dyDescent="0.35">
      <c r="A35" s="93"/>
      <c r="B35" s="94"/>
      <c r="C35" s="94"/>
      <c r="D35" s="94"/>
      <c r="E35" s="94"/>
      <c r="F35" s="94"/>
      <c r="G35" s="94"/>
      <c r="H35" s="94"/>
      <c r="I35" s="94"/>
      <c r="J35" s="95"/>
    </row>
    <row r="36" spans="1:26" ht="15" customHeight="1" x14ac:dyDescent="0.3">
      <c r="A36" s="97" t="s">
        <v>119</v>
      </c>
      <c r="B36" s="98"/>
      <c r="C36" s="98"/>
      <c r="D36" s="98"/>
      <c r="E36" s="98"/>
      <c r="F36" s="98"/>
      <c r="G36" s="99"/>
      <c r="H36" s="103">
        <f>IF($M$30="Uzupełnij brakującą stawkę ryczałtu!"," ",Podsumowanie!I54)</f>
        <v>67086.96813600001</v>
      </c>
      <c r="I36" s="104"/>
      <c r="J36" s="105"/>
    </row>
    <row r="37" spans="1:26" ht="15" customHeight="1" thickBot="1" x14ac:dyDescent="0.35">
      <c r="A37" s="100"/>
      <c r="B37" s="101"/>
      <c r="C37" s="101"/>
      <c r="D37" s="101"/>
      <c r="E37" s="101"/>
      <c r="F37" s="101"/>
      <c r="G37" s="102"/>
      <c r="H37" s="106"/>
      <c r="I37" s="107"/>
      <c r="J37" s="108"/>
    </row>
    <row r="38" spans="1:26" ht="15" customHeight="1" thickTop="1" x14ac:dyDescent="0.3">
      <c r="A38" s="109" t="s">
        <v>120</v>
      </c>
      <c r="B38" s="110"/>
      <c r="C38" s="110"/>
      <c r="D38" s="110"/>
      <c r="E38" s="110"/>
      <c r="F38" s="110"/>
      <c r="G38" s="111"/>
      <c r="H38" s="64">
        <f>IF($M$30="Uzupełnij brakującą stawkę ryczałtu!"," ",Podsumowanie!I18)</f>
        <v>67952.822400000005</v>
      </c>
      <c r="I38" s="65"/>
      <c r="J38" s="66"/>
    </row>
    <row r="39" spans="1:26" ht="15.75" customHeight="1" thickBot="1" x14ac:dyDescent="0.35">
      <c r="A39" s="109"/>
      <c r="B39" s="110"/>
      <c r="C39" s="110"/>
      <c r="D39" s="110"/>
      <c r="E39" s="110"/>
      <c r="F39" s="110"/>
      <c r="G39" s="111"/>
      <c r="H39" s="106"/>
      <c r="I39" s="107"/>
      <c r="J39" s="108"/>
    </row>
    <row r="40" spans="1:26" ht="15.75" customHeight="1" thickTop="1" x14ac:dyDescent="0.3">
      <c r="A40" s="109" t="s">
        <v>121</v>
      </c>
      <c r="B40" s="110"/>
      <c r="C40" s="110"/>
      <c r="D40" s="110"/>
      <c r="E40" s="110"/>
      <c r="F40" s="110"/>
      <c r="G40" s="111"/>
      <c r="H40" s="64">
        <f>IF($M$30="Uzupełnij brakującą stawkę ryczałtu!"," ",Podsumowanie!I36)</f>
        <v>70606.5307608</v>
      </c>
      <c r="I40" s="65"/>
      <c r="J40" s="66"/>
    </row>
    <row r="41" spans="1:26" ht="15.75" customHeight="1" thickBot="1" x14ac:dyDescent="0.35">
      <c r="A41" s="112"/>
      <c r="B41" s="113"/>
      <c r="C41" s="113"/>
      <c r="D41" s="113"/>
      <c r="E41" s="113"/>
      <c r="F41" s="113"/>
      <c r="G41" s="114"/>
      <c r="H41" s="67"/>
      <c r="I41" s="68"/>
      <c r="J41" s="69"/>
    </row>
    <row r="42" spans="1:26" ht="15" customHeight="1" x14ac:dyDescent="0.3"/>
    <row r="43" spans="1:26" ht="15.75" customHeight="1" x14ac:dyDescent="0.3"/>
    <row r="44" spans="1:26" ht="15" customHeight="1" x14ac:dyDescent="0.3"/>
    <row r="45" spans="1:26" ht="15.75" customHeight="1" x14ac:dyDescent="0.3"/>
    <row r="46" spans="1:26" ht="15" customHeight="1" x14ac:dyDescent="0.3"/>
    <row r="47" spans="1:26" ht="15.75" customHeight="1" x14ac:dyDescent="0.3">
      <c r="B47" s="19"/>
    </row>
    <row r="48" spans="1:26" ht="15" customHeight="1" x14ac:dyDescent="0.3"/>
    <row r="49" ht="15.75" customHeight="1" x14ac:dyDescent="0.3"/>
    <row r="50" ht="15" customHeight="1" x14ac:dyDescent="0.3"/>
    <row r="51" ht="15.7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7.25" customHeight="1" x14ac:dyDescent="0.3"/>
    <row r="64" ht="15" thickBot="1" x14ac:dyDescent="0.35"/>
    <row r="65" spans="1:10" x14ac:dyDescent="0.3">
      <c r="A65" s="70" t="e">
        <f>IF(#REF!&gt;#REF!,"Powinieneś do 22 sierpnia rozważyć zmianę formy opodatkowania na skalę podatkową.","Nie powinieneś zmieniać formy opodatkowania. Opodatkowanie ryczałtowe jest dla ciebie optymalne.")</f>
        <v>#REF!</v>
      </c>
      <c r="B65" s="71"/>
      <c r="C65" s="71"/>
      <c r="D65" s="71"/>
      <c r="E65" s="71"/>
      <c r="F65" s="71"/>
      <c r="G65" s="71"/>
      <c r="H65" s="71"/>
      <c r="I65" s="71"/>
      <c r="J65" s="72"/>
    </row>
    <row r="66" spans="1:10" x14ac:dyDescent="0.3">
      <c r="A66" s="73"/>
      <c r="B66" s="74"/>
      <c r="C66" s="74"/>
      <c r="D66" s="74"/>
      <c r="E66" s="74"/>
      <c r="F66" s="74"/>
      <c r="G66" s="74"/>
      <c r="H66" s="74"/>
      <c r="I66" s="74"/>
      <c r="J66" s="75"/>
    </row>
    <row r="67" spans="1:10" ht="15" thickBot="1" x14ac:dyDescent="0.35">
      <c r="A67" s="76"/>
      <c r="B67" s="77"/>
      <c r="C67" s="77"/>
      <c r="D67" s="77"/>
      <c r="E67" s="77"/>
      <c r="F67" s="77"/>
      <c r="G67" s="77"/>
      <c r="H67" s="77"/>
      <c r="I67" s="77"/>
      <c r="J67" s="78"/>
    </row>
    <row r="68" spans="1:10" x14ac:dyDescent="0.3">
      <c r="A68" s="56" t="s">
        <v>97</v>
      </c>
    </row>
  </sheetData>
  <sheetProtection algorithmName="SHA-512" hashValue="OIHX7ZGY4D9L8po4LVeNz9znQky4phcLDQtcdnG+G8Q1vfQjoOzxxs+63VedH8px59Jn38qlJgxD2Fr2u6F7OQ==" saltValue="3ffYwBsf4YNgJKbtoM+A1g==" spinCount="100000" sheet="1" objects="1" scenarios="1"/>
  <mergeCells count="32">
    <mergeCell ref="M30:Z33"/>
    <mergeCell ref="A40:G41"/>
    <mergeCell ref="A2:J3"/>
    <mergeCell ref="A6:J7"/>
    <mergeCell ref="A14:E15"/>
    <mergeCell ref="A18:J19"/>
    <mergeCell ref="F14:G15"/>
    <mergeCell ref="F8:G9"/>
    <mergeCell ref="H8:J9"/>
    <mergeCell ref="H10:J11"/>
    <mergeCell ref="H12:J13"/>
    <mergeCell ref="H14:J15"/>
    <mergeCell ref="A10:E11"/>
    <mergeCell ref="A12:E13"/>
    <mergeCell ref="F10:G11"/>
    <mergeCell ref="F12:G13"/>
    <mergeCell ref="H40:J41"/>
    <mergeCell ref="A65:J67"/>
    <mergeCell ref="H20:J21"/>
    <mergeCell ref="A20:G21"/>
    <mergeCell ref="A24:J25"/>
    <mergeCell ref="A26:G27"/>
    <mergeCell ref="H26:J27"/>
    <mergeCell ref="A34:J35"/>
    <mergeCell ref="A28:G29"/>
    <mergeCell ref="H28:J29"/>
    <mergeCell ref="A30:G31"/>
    <mergeCell ref="H30:J31"/>
    <mergeCell ref="A36:G37"/>
    <mergeCell ref="H36:J37"/>
    <mergeCell ref="A38:G39"/>
    <mergeCell ref="H38:J39"/>
  </mergeCells>
  <conditionalFormatting sqref="A65:J67">
    <cfRule type="cellIs" dxfId="2" priority="7" operator="equal">
      <formula>"Powinieneś do 22 sierpnia rozważyć zmianę formy opodatkowania na skalę podatkową."</formula>
    </cfRule>
    <cfRule type="cellIs" dxfId="1" priority="8" operator="equal">
      <formula>"Nie powinieneś zmieniać formy opodatkowania. Opodatkowanie ryczałtowe jest dla ciebie optymalne."</formula>
    </cfRule>
    <cfRule type="expression" priority="10">
      <formula>"$I$62&gt;$I$44"</formula>
    </cfRule>
  </conditionalFormatting>
  <conditionalFormatting sqref="H36 H38 H40">
    <cfRule type="colorScale" priority="23">
      <colorScale>
        <cfvo type="min"/>
        <cfvo type="max"/>
        <color rgb="FF63BE7B"/>
        <color rgb="FFFCFCFF"/>
      </colorScale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4:J35 A36 H36 A38 H38 A40 H40">
    <cfRule type="colorScale" priority="29">
      <colorScale>
        <cfvo type="min"/>
        <cfvo type="max"/>
        <color rgb="FFFCFCFF"/>
        <color rgb="FF63BE7B"/>
      </colorScale>
    </cfRule>
  </conditionalFormatting>
  <conditionalFormatting sqref="H36:J41">
    <cfRule type="colorScale" priority="2">
      <colorScale>
        <cfvo type="min"/>
        <cfvo type="max"/>
        <color rgb="FFFCFCFF"/>
        <color rgb="FF63BE7B"/>
      </colorScale>
    </cfRule>
  </conditionalFormatting>
  <conditionalFormatting sqref="M30:Z33">
    <cfRule type="cellIs" dxfId="0" priority="1" operator="equal">
      <formula>"Uzupełnij brakującą stawkę ryczałtu!"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CAE0D21-68F3-47B7-BD46-1BFA56271850}">
          <x14:formula1>
            <xm:f>Techniczny!$C$2:$C$3</xm:f>
          </x14:formula1>
          <xm:sqref>I28:J29 H28:H29</xm:sqref>
        </x14:dataValidation>
        <x14:dataValidation type="list" allowBlank="1" showInputMessage="1" showErrorMessage="1" xr:uid="{9442B5EB-A507-4CC7-B75C-1F3DFF6B8F3E}">
          <x14:formula1>
            <xm:f>Techniczny!$D$2:$D$4</xm:f>
          </x14:formula1>
          <xm:sqref>H26:J27</xm:sqref>
        </x14:dataValidation>
        <x14:dataValidation type="list" allowBlank="1" showInputMessage="1" showErrorMessage="1" xr:uid="{0CE0E393-0D33-40BC-BC32-B5AB11C451B5}">
          <x14:formula1>
            <xm:f>Techniczny!$B$1:$B$11</xm:f>
          </x14:formula1>
          <xm:sqref>F10:G15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400AF-F91F-4EDC-9CAF-2A55EC2841A5}">
  <dimension ref="A1:L81"/>
  <sheetViews>
    <sheetView showGridLines="0" topLeftCell="A19" zoomScale="71" zoomScaleNormal="71" workbookViewId="0">
      <selection activeCell="N34" sqref="N34"/>
    </sheetView>
  </sheetViews>
  <sheetFormatPr defaultColWidth="9.109375" defaultRowHeight="14.4" x14ac:dyDescent="0.3"/>
  <cols>
    <col min="1" max="1" width="9.109375" style="18" customWidth="1"/>
    <col min="2" max="4" width="9.109375" style="18"/>
    <col min="5" max="6" width="9.109375" style="18" customWidth="1"/>
    <col min="7" max="8" width="9.109375" style="18"/>
    <col min="9" max="9" width="11" style="18" bestFit="1" customWidth="1"/>
    <col min="10" max="10" width="10.6640625" style="18" customWidth="1"/>
    <col min="11" max="11" width="9.109375" style="18"/>
    <col min="12" max="12" width="9.109375" style="18" customWidth="1"/>
    <col min="13" max="16384" width="9.109375" style="18"/>
  </cols>
  <sheetData>
    <row r="1" spans="1:10" ht="15" thickBot="1" x14ac:dyDescent="0.35">
      <c r="A1" s="17"/>
      <c r="B1" s="17"/>
      <c r="C1" s="17"/>
      <c r="D1" s="17"/>
      <c r="E1" s="17"/>
      <c r="F1" s="17"/>
      <c r="G1" s="17"/>
      <c r="H1" s="17"/>
      <c r="I1" s="17"/>
    </row>
    <row r="2" spans="1:10" ht="15" customHeight="1" x14ac:dyDescent="0.3">
      <c r="A2" s="115" t="s">
        <v>100</v>
      </c>
      <c r="B2" s="116"/>
      <c r="C2" s="116"/>
      <c r="D2" s="116"/>
      <c r="E2" s="116"/>
      <c r="F2" s="116"/>
      <c r="G2" s="116"/>
      <c r="H2" s="116"/>
      <c r="I2" s="116"/>
      <c r="J2" s="117"/>
    </row>
    <row r="3" spans="1:10" ht="15" customHeight="1" thickBot="1" x14ac:dyDescent="0.35">
      <c r="A3" s="118"/>
      <c r="B3" s="119"/>
      <c r="C3" s="119"/>
      <c r="D3" s="119"/>
      <c r="E3" s="119"/>
      <c r="F3" s="119"/>
      <c r="G3" s="119"/>
      <c r="H3" s="119"/>
      <c r="I3" s="119"/>
      <c r="J3" s="120"/>
    </row>
    <row r="4" spans="1:10" x14ac:dyDescent="0.3">
      <c r="A4" s="17"/>
      <c r="B4" s="17"/>
      <c r="C4" s="17"/>
      <c r="D4" s="17"/>
      <c r="E4" s="17"/>
      <c r="F4" s="17"/>
      <c r="G4" s="17"/>
      <c r="H4" s="17"/>
      <c r="I4" s="17"/>
    </row>
    <row r="5" spans="1:10" ht="15" customHeight="1" thickBot="1" x14ac:dyDescent="0.35"/>
    <row r="6" spans="1:10" ht="15" customHeight="1" x14ac:dyDescent="0.3">
      <c r="A6" s="83" t="s">
        <v>104</v>
      </c>
      <c r="B6" s="84"/>
      <c r="C6" s="84"/>
      <c r="D6" s="84"/>
      <c r="E6" s="84"/>
      <c r="F6" s="84"/>
      <c r="G6" s="84"/>
      <c r="H6" s="84"/>
      <c r="I6" s="84"/>
      <c r="J6" s="85"/>
    </row>
    <row r="7" spans="1:10" ht="15" customHeight="1" thickBot="1" x14ac:dyDescent="0.35">
      <c r="A7" s="86"/>
      <c r="B7" s="87"/>
      <c r="C7" s="87"/>
      <c r="D7" s="87"/>
      <c r="E7" s="87"/>
      <c r="F7" s="87"/>
      <c r="G7" s="87"/>
      <c r="H7" s="87"/>
      <c r="I7" s="87"/>
      <c r="J7" s="88"/>
    </row>
    <row r="8" spans="1:10" ht="15" customHeight="1" x14ac:dyDescent="0.3">
      <c r="A8" s="124" t="s">
        <v>24</v>
      </c>
      <c r="B8" s="125"/>
      <c r="C8" s="125"/>
      <c r="D8" s="125"/>
      <c r="E8" s="125"/>
      <c r="F8" s="125"/>
      <c r="G8" s="125"/>
      <c r="H8" s="126"/>
      <c r="I8" s="130">
        <f>SUM(Kalkulator!H10:J15)*12</f>
        <v>108000</v>
      </c>
      <c r="J8" s="131"/>
    </row>
    <row r="9" spans="1:10" ht="15" customHeight="1" thickBot="1" x14ac:dyDescent="0.35">
      <c r="A9" s="127"/>
      <c r="B9" s="128"/>
      <c r="C9" s="128"/>
      <c r="D9" s="128"/>
      <c r="E9" s="128"/>
      <c r="F9" s="128"/>
      <c r="G9" s="128"/>
      <c r="H9" s="129"/>
      <c r="I9" s="132"/>
      <c r="J9" s="133"/>
    </row>
    <row r="10" spans="1:10" ht="15" customHeight="1" thickTop="1" x14ac:dyDescent="0.3">
      <c r="A10" s="127" t="s">
        <v>41</v>
      </c>
      <c r="B10" s="128"/>
      <c r="C10" s="128"/>
      <c r="D10" s="128"/>
      <c r="E10" s="128"/>
      <c r="F10" s="128"/>
      <c r="G10" s="128"/>
      <c r="H10" s="129"/>
      <c r="I10" s="134">
        <f>Kalkulator!H20*12</f>
        <v>12000</v>
      </c>
      <c r="J10" s="135"/>
    </row>
    <row r="11" spans="1:10" ht="15" customHeight="1" thickBot="1" x14ac:dyDescent="0.35">
      <c r="A11" s="127"/>
      <c r="B11" s="128"/>
      <c r="C11" s="128"/>
      <c r="D11" s="128"/>
      <c r="E11" s="128"/>
      <c r="F11" s="128"/>
      <c r="G11" s="128"/>
      <c r="H11" s="129"/>
      <c r="I11" s="132"/>
      <c r="J11" s="133"/>
    </row>
    <row r="12" spans="1:10" ht="15" customHeight="1" thickTop="1" x14ac:dyDescent="0.3">
      <c r="A12" s="127" t="s">
        <v>106</v>
      </c>
      <c r="B12" s="128"/>
      <c r="C12" s="128"/>
      <c r="D12" s="128"/>
      <c r="E12" s="128"/>
      <c r="F12" s="128"/>
      <c r="G12" s="128"/>
      <c r="H12" s="129"/>
      <c r="I12" s="134">
        <f>'Skala (12m)'!P27+'Skala (12m)'!T6</f>
        <v>6180</v>
      </c>
      <c r="J12" s="135"/>
    </row>
    <row r="13" spans="1:10" ht="15" customHeight="1" thickBot="1" x14ac:dyDescent="0.35">
      <c r="A13" s="127"/>
      <c r="B13" s="128"/>
      <c r="C13" s="128"/>
      <c r="D13" s="128"/>
      <c r="E13" s="128"/>
      <c r="F13" s="128"/>
      <c r="G13" s="128"/>
      <c r="H13" s="129"/>
      <c r="I13" s="132"/>
      <c r="J13" s="133"/>
    </row>
    <row r="14" spans="1:10" ht="15" customHeight="1" thickTop="1" x14ac:dyDescent="0.3">
      <c r="A14" s="127" t="s">
        <v>102</v>
      </c>
      <c r="B14" s="128"/>
      <c r="C14" s="128"/>
      <c r="D14" s="128"/>
      <c r="E14" s="128"/>
      <c r="F14" s="128"/>
      <c r="G14" s="128"/>
      <c r="H14" s="129"/>
      <c r="I14" s="134">
        <f>SUM('Skala (12m)'!E27:I27)</f>
        <v>14535.360000000002</v>
      </c>
      <c r="J14" s="135"/>
    </row>
    <row r="15" spans="1:10" ht="15" customHeight="1" thickBot="1" x14ac:dyDescent="0.35">
      <c r="A15" s="127"/>
      <c r="B15" s="128"/>
      <c r="C15" s="128"/>
      <c r="D15" s="128"/>
      <c r="E15" s="128"/>
      <c r="F15" s="128"/>
      <c r="G15" s="128"/>
      <c r="H15" s="129"/>
      <c r="I15" s="132"/>
      <c r="J15" s="133"/>
    </row>
    <row r="16" spans="1:10" ht="15" customHeight="1" thickTop="1" x14ac:dyDescent="0.3">
      <c r="A16" s="127" t="s">
        <v>103</v>
      </c>
      <c r="B16" s="128"/>
      <c r="C16" s="128"/>
      <c r="D16" s="128"/>
      <c r="E16" s="128"/>
      <c r="F16" s="128"/>
      <c r="G16" s="128"/>
      <c r="H16" s="129"/>
      <c r="I16" s="134">
        <f>'Skala (12m)'!J27</f>
        <v>7331.8176000000012</v>
      </c>
      <c r="J16" s="135"/>
    </row>
    <row r="17" spans="1:10" ht="15" customHeight="1" thickBot="1" x14ac:dyDescent="0.35">
      <c r="A17" s="127"/>
      <c r="B17" s="128"/>
      <c r="C17" s="128"/>
      <c r="D17" s="128"/>
      <c r="E17" s="128"/>
      <c r="F17" s="128"/>
      <c r="G17" s="128"/>
      <c r="H17" s="129"/>
      <c r="I17" s="132"/>
      <c r="J17" s="133"/>
    </row>
    <row r="18" spans="1:10" ht="15" customHeight="1" thickTop="1" x14ac:dyDescent="0.3">
      <c r="A18" s="127" t="s">
        <v>27</v>
      </c>
      <c r="B18" s="128"/>
      <c r="C18" s="128"/>
      <c r="D18" s="128"/>
      <c r="E18" s="128"/>
      <c r="F18" s="128"/>
      <c r="G18" s="128"/>
      <c r="H18" s="129"/>
      <c r="I18" s="136">
        <f>I8-I10-I12-I14-I16</f>
        <v>67952.822400000005</v>
      </c>
      <c r="J18" s="137"/>
    </row>
    <row r="19" spans="1:10" ht="15" customHeight="1" thickBot="1" x14ac:dyDescent="0.35">
      <c r="A19" s="127"/>
      <c r="B19" s="128"/>
      <c r="C19" s="128"/>
      <c r="D19" s="128"/>
      <c r="E19" s="128"/>
      <c r="F19" s="128"/>
      <c r="G19" s="128"/>
      <c r="H19" s="129"/>
      <c r="I19" s="138"/>
      <c r="J19" s="139"/>
    </row>
    <row r="20" spans="1:10" ht="15" customHeight="1" thickTop="1" x14ac:dyDescent="0.3">
      <c r="A20" s="127" t="s">
        <v>28</v>
      </c>
      <c r="B20" s="128"/>
      <c r="C20" s="128"/>
      <c r="D20" s="128"/>
      <c r="E20" s="128"/>
      <c r="F20" s="128"/>
      <c r="G20" s="128"/>
      <c r="H20" s="129"/>
      <c r="I20" s="136">
        <f>I18/6</f>
        <v>11325.4704</v>
      </c>
      <c r="J20" s="137"/>
    </row>
    <row r="21" spans="1:10" ht="15" customHeight="1" thickBot="1" x14ac:dyDescent="0.35">
      <c r="A21" s="140"/>
      <c r="B21" s="141"/>
      <c r="C21" s="141"/>
      <c r="D21" s="141"/>
      <c r="E21" s="141"/>
      <c r="F21" s="141"/>
      <c r="G21" s="141"/>
      <c r="H21" s="142"/>
      <c r="I21" s="138"/>
      <c r="J21" s="139"/>
    </row>
    <row r="22" spans="1:10" ht="15" customHeight="1" x14ac:dyDescent="0.3"/>
    <row r="23" spans="1:10" ht="15" customHeight="1" thickBot="1" x14ac:dyDescent="0.35"/>
    <row r="24" spans="1:10" ht="15" customHeight="1" x14ac:dyDescent="0.3">
      <c r="A24" s="83" t="s">
        <v>101</v>
      </c>
      <c r="B24" s="84"/>
      <c r="C24" s="84"/>
      <c r="D24" s="84"/>
      <c r="E24" s="84"/>
      <c r="F24" s="84"/>
      <c r="G24" s="84"/>
      <c r="H24" s="84"/>
      <c r="I24" s="84"/>
      <c r="J24" s="85"/>
    </row>
    <row r="25" spans="1:10" ht="15" customHeight="1" thickBot="1" x14ac:dyDescent="0.35">
      <c r="A25" s="86"/>
      <c r="B25" s="87"/>
      <c r="C25" s="87"/>
      <c r="D25" s="87"/>
      <c r="E25" s="87"/>
      <c r="F25" s="87"/>
      <c r="G25" s="87"/>
      <c r="H25" s="87"/>
      <c r="I25" s="87"/>
      <c r="J25" s="88"/>
    </row>
    <row r="26" spans="1:10" ht="15" customHeight="1" x14ac:dyDescent="0.3">
      <c r="A26" s="124" t="s">
        <v>24</v>
      </c>
      <c r="B26" s="125"/>
      <c r="C26" s="125"/>
      <c r="D26" s="125"/>
      <c r="E26" s="125"/>
      <c r="F26" s="125"/>
      <c r="G26" s="125"/>
      <c r="H26" s="126"/>
      <c r="I26" s="130">
        <f>SUM(Kalkulator!H10:J15)*12</f>
        <v>108000</v>
      </c>
      <c r="J26" s="131"/>
    </row>
    <row r="27" spans="1:10" ht="15.75" customHeight="1" thickBot="1" x14ac:dyDescent="0.35">
      <c r="A27" s="127"/>
      <c r="B27" s="128"/>
      <c r="C27" s="128"/>
      <c r="D27" s="128"/>
      <c r="E27" s="128"/>
      <c r="F27" s="128"/>
      <c r="G27" s="128"/>
      <c r="H27" s="129"/>
      <c r="I27" s="132"/>
      <c r="J27" s="133"/>
    </row>
    <row r="28" spans="1:10" ht="15" customHeight="1" thickTop="1" x14ac:dyDescent="0.3">
      <c r="A28" s="127" t="s">
        <v>41</v>
      </c>
      <c r="B28" s="128"/>
      <c r="C28" s="128"/>
      <c r="D28" s="128"/>
      <c r="E28" s="128"/>
      <c r="F28" s="128"/>
      <c r="G28" s="128"/>
      <c r="H28" s="129"/>
      <c r="I28" s="134">
        <f>Kalkulator!H20*12</f>
        <v>12000</v>
      </c>
      <c r="J28" s="135"/>
    </row>
    <row r="29" spans="1:10" ht="15.75" customHeight="1" thickBot="1" x14ac:dyDescent="0.35">
      <c r="A29" s="127"/>
      <c r="B29" s="128"/>
      <c r="C29" s="128"/>
      <c r="D29" s="128"/>
      <c r="E29" s="128"/>
      <c r="F29" s="128"/>
      <c r="G29" s="128"/>
      <c r="H29" s="129"/>
      <c r="I29" s="132"/>
      <c r="J29" s="133"/>
    </row>
    <row r="30" spans="1:10" ht="15" customHeight="1" thickTop="1" x14ac:dyDescent="0.3">
      <c r="A30" s="127" t="s">
        <v>106</v>
      </c>
      <c r="B30" s="128"/>
      <c r="C30" s="128"/>
      <c r="D30" s="128"/>
      <c r="E30" s="128"/>
      <c r="F30" s="128"/>
      <c r="G30" s="128"/>
      <c r="H30" s="129"/>
      <c r="I30" s="134">
        <f>'Ryczałt (6m)'!C54+'Skala (6m)'!P21+'Skala (6m)'!Q24</f>
        <v>5176.5834792000005</v>
      </c>
      <c r="J30" s="135"/>
    </row>
    <row r="31" spans="1:10" ht="15.75" customHeight="1" thickBot="1" x14ac:dyDescent="0.35">
      <c r="A31" s="127"/>
      <c r="B31" s="128"/>
      <c r="C31" s="128"/>
      <c r="D31" s="128"/>
      <c r="E31" s="128"/>
      <c r="F31" s="128"/>
      <c r="G31" s="128"/>
      <c r="H31" s="129"/>
      <c r="I31" s="132"/>
      <c r="J31" s="133"/>
    </row>
    <row r="32" spans="1:10" ht="15" customHeight="1" thickTop="1" x14ac:dyDescent="0.3">
      <c r="A32" s="127" t="s">
        <v>102</v>
      </c>
      <c r="B32" s="128"/>
      <c r="C32" s="128"/>
      <c r="D32" s="128"/>
      <c r="E32" s="128"/>
      <c r="F32" s="128"/>
      <c r="G32" s="128"/>
      <c r="H32" s="129"/>
      <c r="I32" s="134">
        <f>'Ryczałt (6m)'!D17+SUM('Skala (6m)'!E21:I21)</f>
        <v>14535.36</v>
      </c>
      <c r="J32" s="135"/>
    </row>
    <row r="33" spans="1:10" ht="15" customHeight="1" thickBot="1" x14ac:dyDescent="0.35">
      <c r="A33" s="127"/>
      <c r="B33" s="128"/>
      <c r="C33" s="128"/>
      <c r="D33" s="128"/>
      <c r="E33" s="128"/>
      <c r="F33" s="128"/>
      <c r="G33" s="128"/>
      <c r="H33" s="129"/>
      <c r="I33" s="132"/>
      <c r="J33" s="133"/>
    </row>
    <row r="34" spans="1:10" ht="15" customHeight="1" thickTop="1" x14ac:dyDescent="0.3">
      <c r="A34" s="127" t="s">
        <v>103</v>
      </c>
      <c r="B34" s="128"/>
      <c r="C34" s="128"/>
      <c r="D34" s="128"/>
      <c r="E34" s="128"/>
      <c r="F34" s="128"/>
      <c r="G34" s="128"/>
      <c r="H34" s="129"/>
      <c r="I34" s="134">
        <f>'Ryczałt (6m)'!C34+'Skala (6m)'!J21</f>
        <v>5681.5257600000004</v>
      </c>
      <c r="J34" s="135"/>
    </row>
    <row r="35" spans="1:10" ht="15" customHeight="1" thickBot="1" x14ac:dyDescent="0.35">
      <c r="A35" s="127"/>
      <c r="B35" s="128"/>
      <c r="C35" s="128"/>
      <c r="D35" s="128"/>
      <c r="E35" s="128"/>
      <c r="F35" s="128"/>
      <c r="G35" s="128"/>
      <c r="H35" s="129"/>
      <c r="I35" s="132"/>
      <c r="J35" s="133"/>
    </row>
    <row r="36" spans="1:10" ht="15" customHeight="1" thickTop="1" x14ac:dyDescent="0.3">
      <c r="A36" s="127" t="s">
        <v>27</v>
      </c>
      <c r="B36" s="128"/>
      <c r="C36" s="128"/>
      <c r="D36" s="128"/>
      <c r="E36" s="128"/>
      <c r="F36" s="128"/>
      <c r="G36" s="128"/>
      <c r="H36" s="129"/>
      <c r="I36" s="136">
        <f>I26-I28-I30-I32-I34</f>
        <v>70606.5307608</v>
      </c>
      <c r="J36" s="137"/>
    </row>
    <row r="37" spans="1:10" ht="15" customHeight="1" thickBot="1" x14ac:dyDescent="0.35">
      <c r="A37" s="127"/>
      <c r="B37" s="128"/>
      <c r="C37" s="128"/>
      <c r="D37" s="128"/>
      <c r="E37" s="128"/>
      <c r="F37" s="128"/>
      <c r="G37" s="128"/>
      <c r="H37" s="129"/>
      <c r="I37" s="138"/>
      <c r="J37" s="139"/>
    </row>
    <row r="38" spans="1:10" ht="15" customHeight="1" thickTop="1" x14ac:dyDescent="0.3">
      <c r="A38" s="127" t="s">
        <v>28</v>
      </c>
      <c r="B38" s="128"/>
      <c r="C38" s="128"/>
      <c r="D38" s="128"/>
      <c r="E38" s="128"/>
      <c r="F38" s="128"/>
      <c r="G38" s="128"/>
      <c r="H38" s="129"/>
      <c r="I38" s="136">
        <f>I36/6</f>
        <v>11767.755126800001</v>
      </c>
      <c r="J38" s="137"/>
    </row>
    <row r="39" spans="1:10" ht="15" customHeight="1" thickBot="1" x14ac:dyDescent="0.35">
      <c r="A39" s="140"/>
      <c r="B39" s="141"/>
      <c r="C39" s="141"/>
      <c r="D39" s="141"/>
      <c r="E39" s="141"/>
      <c r="F39" s="141"/>
      <c r="G39" s="141"/>
      <c r="H39" s="142"/>
      <c r="I39" s="138"/>
      <c r="J39" s="139"/>
    </row>
    <row r="40" spans="1:10" ht="15" customHeight="1" x14ac:dyDescent="0.3"/>
    <row r="41" spans="1:10" ht="15" customHeight="1" thickBot="1" x14ac:dyDescent="0.35"/>
    <row r="42" spans="1:10" ht="15" customHeight="1" x14ac:dyDescent="0.3">
      <c r="A42" s="83" t="s">
        <v>105</v>
      </c>
      <c r="B42" s="84"/>
      <c r="C42" s="84"/>
      <c r="D42" s="84"/>
      <c r="E42" s="84"/>
      <c r="F42" s="84"/>
      <c r="G42" s="84"/>
      <c r="H42" s="84"/>
      <c r="I42" s="84"/>
      <c r="J42" s="85"/>
    </row>
    <row r="43" spans="1:10" ht="15" customHeight="1" thickBot="1" x14ac:dyDescent="0.35">
      <c r="A43" s="86"/>
      <c r="B43" s="87"/>
      <c r="C43" s="87"/>
      <c r="D43" s="87"/>
      <c r="E43" s="87"/>
      <c r="F43" s="87"/>
      <c r="G43" s="87"/>
      <c r="H43" s="87"/>
      <c r="I43" s="87"/>
      <c r="J43" s="88"/>
    </row>
    <row r="44" spans="1:10" ht="15" customHeight="1" x14ac:dyDescent="0.3">
      <c r="A44" s="124" t="s">
        <v>24</v>
      </c>
      <c r="B44" s="125"/>
      <c r="C44" s="125"/>
      <c r="D44" s="125"/>
      <c r="E44" s="125"/>
      <c r="F44" s="125"/>
      <c r="G44" s="125"/>
      <c r="H44" s="126"/>
      <c r="I44" s="130">
        <f>SUM(Kalkulator!H10:J15)*12</f>
        <v>108000</v>
      </c>
      <c r="J44" s="131"/>
    </row>
    <row r="45" spans="1:10" ht="15" customHeight="1" thickBot="1" x14ac:dyDescent="0.35">
      <c r="A45" s="127"/>
      <c r="B45" s="128"/>
      <c r="C45" s="128"/>
      <c r="D45" s="128"/>
      <c r="E45" s="128"/>
      <c r="F45" s="128"/>
      <c r="G45" s="128"/>
      <c r="H45" s="129"/>
      <c r="I45" s="132"/>
      <c r="J45" s="133"/>
    </row>
    <row r="46" spans="1:10" ht="15" customHeight="1" thickTop="1" x14ac:dyDescent="0.3">
      <c r="A46" s="127" t="s">
        <v>41</v>
      </c>
      <c r="B46" s="128"/>
      <c r="C46" s="128"/>
      <c r="D46" s="128"/>
      <c r="E46" s="128"/>
      <c r="F46" s="128"/>
      <c r="G46" s="128"/>
      <c r="H46" s="129"/>
      <c r="I46" s="134">
        <f>Kalkulator!H20*12</f>
        <v>12000</v>
      </c>
      <c r="J46" s="135"/>
    </row>
    <row r="47" spans="1:10" ht="15" customHeight="1" thickBot="1" x14ac:dyDescent="0.35">
      <c r="A47" s="127"/>
      <c r="B47" s="128"/>
      <c r="C47" s="128"/>
      <c r="D47" s="128"/>
      <c r="E47" s="128"/>
      <c r="F47" s="128"/>
      <c r="G47" s="128"/>
      <c r="H47" s="129"/>
      <c r="I47" s="132"/>
      <c r="J47" s="133"/>
    </row>
    <row r="48" spans="1:10" ht="15" customHeight="1" thickTop="1" x14ac:dyDescent="0.3">
      <c r="A48" s="127" t="s">
        <v>26</v>
      </c>
      <c r="B48" s="128"/>
      <c r="C48" s="128"/>
      <c r="D48" s="128"/>
      <c r="E48" s="128"/>
      <c r="F48" s="128"/>
      <c r="G48" s="128"/>
      <c r="H48" s="129"/>
      <c r="I48" s="134">
        <f>'Ryczałt (12m)'!C54</f>
        <v>7658.9486640000005</v>
      </c>
      <c r="J48" s="135"/>
    </row>
    <row r="49" spans="1:10" ht="15" customHeight="1" thickBot="1" x14ac:dyDescent="0.35">
      <c r="A49" s="127"/>
      <c r="B49" s="128"/>
      <c r="C49" s="128"/>
      <c r="D49" s="128"/>
      <c r="E49" s="128"/>
      <c r="F49" s="128"/>
      <c r="G49" s="128"/>
      <c r="H49" s="129"/>
      <c r="I49" s="132"/>
      <c r="J49" s="133"/>
    </row>
    <row r="50" spans="1:10" ht="15" customHeight="1" thickTop="1" x14ac:dyDescent="0.3">
      <c r="A50" s="127" t="s">
        <v>102</v>
      </c>
      <c r="B50" s="128"/>
      <c r="C50" s="128"/>
      <c r="D50" s="128"/>
      <c r="E50" s="128"/>
      <c r="F50" s="128"/>
      <c r="G50" s="128"/>
      <c r="H50" s="129"/>
      <c r="I50" s="134">
        <f>'Ryczałt (12m)'!D17</f>
        <v>14535.36</v>
      </c>
      <c r="J50" s="135"/>
    </row>
    <row r="51" spans="1:10" ht="15" customHeight="1" thickBot="1" x14ac:dyDescent="0.35">
      <c r="A51" s="127"/>
      <c r="B51" s="128"/>
      <c r="C51" s="128"/>
      <c r="D51" s="128"/>
      <c r="E51" s="128"/>
      <c r="F51" s="128"/>
      <c r="G51" s="128"/>
      <c r="H51" s="129"/>
      <c r="I51" s="132"/>
      <c r="J51" s="133"/>
    </row>
    <row r="52" spans="1:10" ht="15" customHeight="1" thickTop="1" x14ac:dyDescent="0.3">
      <c r="A52" s="127" t="s">
        <v>107</v>
      </c>
      <c r="B52" s="128"/>
      <c r="C52" s="128"/>
      <c r="D52" s="128"/>
      <c r="E52" s="128"/>
      <c r="F52" s="128"/>
      <c r="G52" s="128"/>
      <c r="H52" s="129"/>
      <c r="I52" s="134">
        <f>'Ryczałt (12m)'!C34</f>
        <v>6718.7232000000004</v>
      </c>
      <c r="J52" s="135"/>
    </row>
    <row r="53" spans="1:10" ht="15" customHeight="1" thickBot="1" x14ac:dyDescent="0.35">
      <c r="A53" s="127"/>
      <c r="B53" s="128"/>
      <c r="C53" s="128"/>
      <c r="D53" s="128"/>
      <c r="E53" s="128"/>
      <c r="F53" s="128"/>
      <c r="G53" s="128"/>
      <c r="H53" s="129"/>
      <c r="I53" s="132"/>
      <c r="J53" s="133"/>
    </row>
    <row r="54" spans="1:10" ht="15" customHeight="1" thickTop="1" x14ac:dyDescent="0.3">
      <c r="A54" s="127" t="s">
        <v>27</v>
      </c>
      <c r="B54" s="128"/>
      <c r="C54" s="128"/>
      <c r="D54" s="128"/>
      <c r="E54" s="128"/>
      <c r="F54" s="128"/>
      <c r="G54" s="128"/>
      <c r="H54" s="129"/>
      <c r="I54" s="136">
        <f>I44-I46-I48-I50-I52</f>
        <v>67086.96813600001</v>
      </c>
      <c r="J54" s="137"/>
    </row>
    <row r="55" spans="1:10" ht="15" customHeight="1" thickBot="1" x14ac:dyDescent="0.35">
      <c r="A55" s="127"/>
      <c r="B55" s="128"/>
      <c r="C55" s="128"/>
      <c r="D55" s="128"/>
      <c r="E55" s="128"/>
      <c r="F55" s="128"/>
      <c r="G55" s="128"/>
      <c r="H55" s="129"/>
      <c r="I55" s="138"/>
      <c r="J55" s="139"/>
    </row>
    <row r="56" spans="1:10" ht="15.75" customHeight="1" thickTop="1" x14ac:dyDescent="0.3">
      <c r="A56" s="127" t="s">
        <v>28</v>
      </c>
      <c r="B56" s="128"/>
      <c r="C56" s="128"/>
      <c r="D56" s="128"/>
      <c r="E56" s="128"/>
      <c r="F56" s="128"/>
      <c r="G56" s="128"/>
      <c r="H56" s="129"/>
      <c r="I56" s="136">
        <f>I54/6</f>
        <v>11181.161356000002</v>
      </c>
      <c r="J56" s="137"/>
    </row>
    <row r="57" spans="1:10" ht="15.75" customHeight="1" thickBot="1" x14ac:dyDescent="0.35">
      <c r="A57" s="140"/>
      <c r="B57" s="141"/>
      <c r="C57" s="141"/>
      <c r="D57" s="141"/>
      <c r="E57" s="141"/>
      <c r="F57" s="141"/>
      <c r="G57" s="141"/>
      <c r="H57" s="142"/>
      <c r="I57" s="138"/>
      <c r="J57" s="139"/>
    </row>
    <row r="58" spans="1:10" ht="15.75" customHeight="1" x14ac:dyDescent="0.3"/>
    <row r="59" spans="1:10" ht="15.75" customHeight="1" x14ac:dyDescent="0.3">
      <c r="A59" s="56" t="s">
        <v>97</v>
      </c>
    </row>
    <row r="60" spans="1:10" ht="15" customHeight="1" x14ac:dyDescent="0.3"/>
    <row r="61" spans="1:10" ht="15.75" customHeight="1" x14ac:dyDescent="0.3"/>
    <row r="62" spans="1:10" ht="15" customHeight="1" x14ac:dyDescent="0.3"/>
    <row r="63" spans="1:10" ht="15.75" customHeight="1" x14ac:dyDescent="0.3"/>
    <row r="64" spans="1:10" ht="15" customHeight="1" x14ac:dyDescent="0.3"/>
    <row r="65" spans="12:12" ht="15.75" customHeight="1" x14ac:dyDescent="0.3"/>
    <row r="66" spans="12:12" ht="15" customHeight="1" x14ac:dyDescent="0.3">
      <c r="L66" s="19"/>
    </row>
    <row r="67" spans="12:12" ht="15.75" customHeight="1" x14ac:dyDescent="0.3"/>
    <row r="68" spans="12:12" ht="15" customHeight="1" x14ac:dyDescent="0.3"/>
    <row r="69" spans="12:12" ht="15.75" customHeight="1" x14ac:dyDescent="0.3"/>
    <row r="70" spans="12:12" ht="15" customHeight="1" x14ac:dyDescent="0.3"/>
    <row r="71" spans="12:12" ht="15" customHeight="1" x14ac:dyDescent="0.3"/>
    <row r="72" spans="12:12" ht="15" customHeight="1" x14ac:dyDescent="0.3"/>
    <row r="73" spans="12:12" ht="15" customHeight="1" x14ac:dyDescent="0.3"/>
    <row r="74" spans="12:12" ht="15" customHeight="1" x14ac:dyDescent="0.3"/>
    <row r="75" spans="12:12" ht="15.75" customHeight="1" x14ac:dyDescent="0.3"/>
    <row r="76" spans="12:12" ht="15.75" customHeight="1" x14ac:dyDescent="0.3"/>
    <row r="77" spans="12:12" ht="15.75" customHeight="1" x14ac:dyDescent="0.3"/>
    <row r="78" spans="12:12" ht="15.75" customHeight="1" x14ac:dyDescent="0.3"/>
    <row r="79" spans="12:12" ht="15.75" customHeight="1" x14ac:dyDescent="0.3"/>
    <row r="80" spans="12:12" ht="15.75" customHeight="1" x14ac:dyDescent="0.3"/>
    <row r="81" ht="17.25" customHeight="1" x14ac:dyDescent="0.3"/>
  </sheetData>
  <sheetProtection algorithmName="SHA-512" hashValue="BTEDZKoNLvblnJQa0/QCw/yZRujdkoz5Vh96ckon8Xxkcyporww+scwvXmukuoOGMJkspzpDw1xfafc7wz3JTw==" saltValue="0c9/gzdW2IJoOD87+6KSIg==" spinCount="100000" sheet="1" objects="1" scenarios="1"/>
  <mergeCells count="46">
    <mergeCell ref="A12:H13"/>
    <mergeCell ref="I12:J13"/>
    <mergeCell ref="A24:J25"/>
    <mergeCell ref="A26:H27"/>
    <mergeCell ref="I26:J27"/>
    <mergeCell ref="A14:H15"/>
    <mergeCell ref="I14:J15"/>
    <mergeCell ref="A16:H17"/>
    <mergeCell ref="I16:J17"/>
    <mergeCell ref="A18:H19"/>
    <mergeCell ref="I18:J19"/>
    <mergeCell ref="A20:H21"/>
    <mergeCell ref="I20:J21"/>
    <mergeCell ref="A6:J7"/>
    <mergeCell ref="A8:H9"/>
    <mergeCell ref="I8:J9"/>
    <mergeCell ref="A10:H11"/>
    <mergeCell ref="I10:J11"/>
    <mergeCell ref="A52:H53"/>
    <mergeCell ref="I52:J53"/>
    <mergeCell ref="A54:H55"/>
    <mergeCell ref="I54:J55"/>
    <mergeCell ref="A56:H57"/>
    <mergeCell ref="I56:J57"/>
    <mergeCell ref="A46:H47"/>
    <mergeCell ref="I46:J47"/>
    <mergeCell ref="A48:H49"/>
    <mergeCell ref="I48:J49"/>
    <mergeCell ref="A50:H51"/>
    <mergeCell ref="I50:J51"/>
    <mergeCell ref="A2:J3"/>
    <mergeCell ref="A44:H45"/>
    <mergeCell ref="I44:J45"/>
    <mergeCell ref="A28:H29"/>
    <mergeCell ref="I28:J29"/>
    <mergeCell ref="A30:H31"/>
    <mergeCell ref="I30:J31"/>
    <mergeCell ref="A32:H33"/>
    <mergeCell ref="I32:J33"/>
    <mergeCell ref="A36:H37"/>
    <mergeCell ref="I36:J37"/>
    <mergeCell ref="A38:H39"/>
    <mergeCell ref="I38:J39"/>
    <mergeCell ref="A42:J43"/>
    <mergeCell ref="A34:H35"/>
    <mergeCell ref="I34:J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7939-6B79-4D5C-A454-640EEE91B1FA}">
  <dimension ref="B1:I67"/>
  <sheetViews>
    <sheetView topLeftCell="A21" workbookViewId="0">
      <selection activeCell="C58" sqref="C58"/>
    </sheetView>
  </sheetViews>
  <sheetFormatPr defaultRowHeight="14.4" x14ac:dyDescent="0.3"/>
  <cols>
    <col min="2" max="2" width="16.6640625" customWidth="1"/>
    <col min="3" max="3" width="15" customWidth="1"/>
    <col min="4" max="4" width="13.44140625" customWidth="1"/>
    <col min="5" max="5" width="16.6640625" customWidth="1"/>
    <col min="6" max="7" width="13.88671875" customWidth="1"/>
    <col min="8" max="8" width="12.33203125" bestFit="1" customWidth="1"/>
    <col min="9" max="9" width="14.5546875" customWidth="1"/>
  </cols>
  <sheetData>
    <row r="1" spans="2:5" x14ac:dyDescent="0.3">
      <c r="B1" s="143" t="s">
        <v>0</v>
      </c>
      <c r="C1" s="144"/>
    </row>
    <row r="2" spans="2:5" x14ac:dyDescent="0.3">
      <c r="B2" s="1" t="s">
        <v>1</v>
      </c>
      <c r="C2" s="2">
        <f>IF(Kalkulator!F10&lt;&gt;"",Kalkulator!H10*6,0)</f>
        <v>54000</v>
      </c>
    </row>
    <row r="3" spans="2:5" x14ac:dyDescent="0.3">
      <c r="B3" s="1" t="s">
        <v>2</v>
      </c>
      <c r="C3" s="2">
        <f>IF(Kalkulator!F12&lt;&gt;"",Kalkulator!H12*6,0)</f>
        <v>0</v>
      </c>
    </row>
    <row r="4" spans="2:5" ht="15" thickBot="1" x14ac:dyDescent="0.35">
      <c r="B4" s="3" t="s">
        <v>3</v>
      </c>
      <c r="C4" s="4">
        <f>IF(Kalkulator!F14&lt;&gt;"",Kalkulator!H14*6,0)</f>
        <v>0</v>
      </c>
    </row>
    <row r="5" spans="2:5" ht="15" thickTop="1" x14ac:dyDescent="0.3">
      <c r="B5" s="5" t="s">
        <v>4</v>
      </c>
      <c r="C5" s="6">
        <f>SUM(C2:C4)</f>
        <v>54000</v>
      </c>
    </row>
    <row r="6" spans="2:5" x14ac:dyDescent="0.3">
      <c r="C6" s="7"/>
    </row>
    <row r="7" spans="2:5" x14ac:dyDescent="0.3">
      <c r="B7" s="143" t="s">
        <v>5</v>
      </c>
      <c r="C7" s="144"/>
    </row>
    <row r="8" spans="2:5" x14ac:dyDescent="0.3">
      <c r="B8" s="8" t="s">
        <v>4</v>
      </c>
      <c r="C8" s="6">
        <f>Kalkulator!H20*6</f>
        <v>6000</v>
      </c>
    </row>
    <row r="9" spans="2:5" x14ac:dyDescent="0.3">
      <c r="B9" s="9"/>
      <c r="C9" s="7"/>
    </row>
    <row r="10" spans="2:5" x14ac:dyDescent="0.3">
      <c r="B10" s="143" t="s">
        <v>6</v>
      </c>
      <c r="C10" s="145"/>
      <c r="D10" s="144"/>
    </row>
    <row r="11" spans="2:5" x14ac:dyDescent="0.3">
      <c r="B11" s="10" t="s">
        <v>7</v>
      </c>
      <c r="C11" s="146">
        <f>IF(Kalkulator!H26="Normalny ZUS",3553.2,IF(Kalkulator!H26="Mały ZUS",903,0))</f>
        <v>3553.2</v>
      </c>
      <c r="D11" s="147"/>
    </row>
    <row r="12" spans="2:5" x14ac:dyDescent="0.3">
      <c r="B12" s="1" t="s">
        <v>8</v>
      </c>
      <c r="C12" s="11">
        <v>0.19520000000000001</v>
      </c>
      <c r="D12" s="2">
        <f>ROUND($C$11*C12, 2)</f>
        <v>693.58</v>
      </c>
    </row>
    <row r="13" spans="2:5" x14ac:dyDescent="0.3">
      <c r="B13" s="1" t="s">
        <v>9</v>
      </c>
      <c r="C13" s="11">
        <v>0.08</v>
      </c>
      <c r="D13" s="2">
        <f>ROUND($C$11*C13, 2)</f>
        <v>284.26</v>
      </c>
    </row>
    <row r="14" spans="2:5" x14ac:dyDescent="0.3">
      <c r="B14" s="1" t="s">
        <v>10</v>
      </c>
      <c r="C14" s="11">
        <f>IF(Kalkulator!H28="Tak",2.45%,0%)</f>
        <v>2.4500000000000001E-2</v>
      </c>
      <c r="D14" s="2">
        <f>ROUND($C$11*C14, 2)</f>
        <v>87.05</v>
      </c>
      <c r="E14" s="7"/>
    </row>
    <row r="15" spans="2:5" x14ac:dyDescent="0.3">
      <c r="B15" s="1" t="s">
        <v>11</v>
      </c>
      <c r="C15" s="11">
        <v>1.67E-2</v>
      </c>
      <c r="D15" s="2">
        <f>ROUND($C$11*C15, 2)</f>
        <v>59.34</v>
      </c>
    </row>
    <row r="16" spans="2:5" ht="15" thickBot="1" x14ac:dyDescent="0.35">
      <c r="B16" s="3" t="s">
        <v>12</v>
      </c>
      <c r="C16" s="12">
        <v>2.4500000000000001E-2</v>
      </c>
      <c r="D16" s="2">
        <f>ROUND($C$11*C16, 2)</f>
        <v>87.05</v>
      </c>
    </row>
    <row r="17" spans="2:8" ht="15" thickTop="1" x14ac:dyDescent="0.3">
      <c r="B17" s="148" t="s">
        <v>13</v>
      </c>
      <c r="C17" s="149"/>
      <c r="D17" s="13">
        <f>SUM(D12:D16)*6</f>
        <v>7267.68</v>
      </c>
      <c r="E17" s="7"/>
    </row>
    <row r="18" spans="2:8" x14ac:dyDescent="0.3">
      <c r="D18" s="7"/>
    </row>
    <row r="19" spans="2:8" x14ac:dyDescent="0.3">
      <c r="B19" s="143" t="s">
        <v>14</v>
      </c>
      <c r="C19" s="144"/>
      <c r="D19" s="7"/>
      <c r="H19" s="7"/>
    </row>
    <row r="20" spans="2:8" x14ac:dyDescent="0.3">
      <c r="B20" s="1" t="s">
        <v>1</v>
      </c>
      <c r="C20" s="2">
        <f>(C2/$C$5)*$D$17</f>
        <v>7267.68</v>
      </c>
      <c r="D20" s="7"/>
    </row>
    <row r="21" spans="2:8" x14ac:dyDescent="0.3">
      <c r="B21" s="1" t="s">
        <v>2</v>
      </c>
      <c r="C21" s="2">
        <f t="shared" ref="C21:C22" si="0">(C3/$C$5)*$D$17</f>
        <v>0</v>
      </c>
      <c r="D21" s="7"/>
    </row>
    <row r="22" spans="2:8" x14ac:dyDescent="0.3">
      <c r="B22" s="5" t="s">
        <v>3</v>
      </c>
      <c r="C22" s="6">
        <f t="shared" si="0"/>
        <v>0</v>
      </c>
      <c r="D22" s="7"/>
    </row>
    <row r="25" spans="2:8" x14ac:dyDescent="0.3">
      <c r="B25" s="143" t="s">
        <v>16</v>
      </c>
      <c r="C25" s="144"/>
    </row>
    <row r="26" spans="2:8" x14ac:dyDescent="0.3">
      <c r="B26" s="1" t="s">
        <v>17</v>
      </c>
      <c r="C26" s="2">
        <f>C5</f>
        <v>54000</v>
      </c>
    </row>
    <row r="27" spans="2:8" x14ac:dyDescent="0.3">
      <c r="B27" s="1" t="s">
        <v>18</v>
      </c>
      <c r="C27" s="15">
        <f>D17</f>
        <v>7267.68</v>
      </c>
    </row>
    <row r="28" spans="2:8" x14ac:dyDescent="0.3">
      <c r="B28" s="5" t="s">
        <v>4</v>
      </c>
      <c r="C28" s="6">
        <f>C26-C27</f>
        <v>46732.32</v>
      </c>
    </row>
    <row r="31" spans="2:8" x14ac:dyDescent="0.3">
      <c r="B31" s="143" t="s">
        <v>19</v>
      </c>
      <c r="C31" s="144"/>
      <c r="D31" s="25">
        <v>6221.04</v>
      </c>
    </row>
    <row r="32" spans="2:8" x14ac:dyDescent="0.3">
      <c r="B32" s="1" t="s">
        <v>7</v>
      </c>
      <c r="C32" s="2">
        <f>IF($C$28&lt;=60000,D31*60%,IF(AND($C$28&gt;60000,$C$28&lt;=300000),D31*100%,D31*180%))</f>
        <v>3732.6239999999998</v>
      </c>
    </row>
    <row r="33" spans="2:5" x14ac:dyDescent="0.3">
      <c r="B33" s="1" t="s">
        <v>20</v>
      </c>
      <c r="C33" s="16">
        <v>0.09</v>
      </c>
    </row>
    <row r="34" spans="2:5" x14ac:dyDescent="0.3">
      <c r="B34" s="1" t="s">
        <v>21</v>
      </c>
      <c r="C34" s="2">
        <f>C32*C33*6</f>
        <v>2015.6169599999998</v>
      </c>
      <c r="E34" s="7"/>
    </row>
    <row r="35" spans="2:5" x14ac:dyDescent="0.3">
      <c r="B35" s="26" t="s">
        <v>37</v>
      </c>
      <c r="C35" s="6">
        <f>C34*0.5</f>
        <v>1007.8084799999999</v>
      </c>
      <c r="D35" s="1"/>
    </row>
    <row r="38" spans="2:5" x14ac:dyDescent="0.3">
      <c r="B38" s="143" t="s">
        <v>38</v>
      </c>
      <c r="C38" s="144"/>
    </row>
    <row r="39" spans="2:5" x14ac:dyDescent="0.3">
      <c r="B39" s="1" t="s">
        <v>1</v>
      </c>
      <c r="C39" s="2">
        <f>C35*C2/C5</f>
        <v>1007.8084799999999</v>
      </c>
    </row>
    <row r="40" spans="2:5" x14ac:dyDescent="0.3">
      <c r="B40" s="1" t="s">
        <v>2</v>
      </c>
      <c r="C40" s="2">
        <f>C35*C3/C5</f>
        <v>0</v>
      </c>
    </row>
    <row r="41" spans="2:5" x14ac:dyDescent="0.3">
      <c r="B41" s="5" t="s">
        <v>3</v>
      </c>
      <c r="C41" s="6">
        <f>C35*C4/C5</f>
        <v>0</v>
      </c>
    </row>
    <row r="44" spans="2:5" x14ac:dyDescent="0.3">
      <c r="B44" s="143" t="s">
        <v>39</v>
      </c>
      <c r="C44" s="144"/>
    </row>
    <row r="45" spans="2:5" x14ac:dyDescent="0.3">
      <c r="B45" s="1" t="s">
        <v>1</v>
      </c>
      <c r="C45" s="2">
        <f>C2-C20-C39</f>
        <v>45724.51152</v>
      </c>
    </row>
    <row r="46" spans="2:5" x14ac:dyDescent="0.3">
      <c r="B46" s="1" t="s">
        <v>2</v>
      </c>
      <c r="C46" s="2">
        <f>C3-C21-C40</f>
        <v>0</v>
      </c>
    </row>
    <row r="47" spans="2:5" x14ac:dyDescent="0.3">
      <c r="B47" s="5" t="s">
        <v>3</v>
      </c>
      <c r="C47" s="6">
        <f>C4-C22-C41</f>
        <v>0</v>
      </c>
    </row>
    <row r="50" spans="2:9" x14ac:dyDescent="0.3">
      <c r="B50" s="143" t="s">
        <v>15</v>
      </c>
      <c r="C50" s="144"/>
    </row>
    <row r="51" spans="2:9" x14ac:dyDescent="0.3">
      <c r="B51" s="1" t="s">
        <v>1</v>
      </c>
      <c r="C51" s="2">
        <f>IFERROR(IF(D51,I51,C45*Kalkulator!F10),0)</f>
        <v>3886.5834792000001</v>
      </c>
      <c r="D51" t="b">
        <f>Kalkulator!F10="8,5%/12,5%"</f>
        <v>0</v>
      </c>
      <c r="E51" s="7">
        <f>MIN(C45,100000)</f>
        <v>45724.51152</v>
      </c>
      <c r="F51" s="7">
        <f>E51*8.5%</f>
        <v>3886.5834792000001</v>
      </c>
      <c r="G51" s="7">
        <f>MAX((C45-100000),0)</f>
        <v>0</v>
      </c>
      <c r="H51" s="7">
        <f>G51*12.5%</f>
        <v>0</v>
      </c>
      <c r="I51" s="7">
        <f>F51+H51</f>
        <v>3886.5834792000001</v>
      </c>
    </row>
    <row r="52" spans="2:9" x14ac:dyDescent="0.3">
      <c r="B52" s="1" t="s">
        <v>2</v>
      </c>
      <c r="C52" s="2">
        <f>IFERROR(IF(D52,I52,C46*Kalkulator!F12),0)</f>
        <v>0</v>
      </c>
      <c r="D52" t="b">
        <f>Kalkulator!F12="8,5%/12,5%"</f>
        <v>0</v>
      </c>
      <c r="E52" s="7">
        <f t="shared" ref="E52:E53" si="1">MIN(C46,100000)</f>
        <v>0</v>
      </c>
      <c r="F52" s="7">
        <f t="shared" ref="F52:F53" si="2">E52*8.5%</f>
        <v>0</v>
      </c>
      <c r="G52" s="7">
        <f t="shared" ref="G52:G53" si="3">MAX((C46-100000),0)</f>
        <v>0</v>
      </c>
      <c r="H52" s="7">
        <f t="shared" ref="H52:H53" si="4">G52*12.5%</f>
        <v>0</v>
      </c>
      <c r="I52" s="7">
        <f t="shared" ref="I52:I53" si="5">F52+H52</f>
        <v>0</v>
      </c>
    </row>
    <row r="53" spans="2:9" ht="15" thickBot="1" x14ac:dyDescent="0.35">
      <c r="B53" s="3" t="s">
        <v>3</v>
      </c>
      <c r="C53" s="4">
        <f>IFERROR(IF(D53,I53,C47*Kalkulator!F14),0)</f>
        <v>0</v>
      </c>
      <c r="D53" t="b">
        <f>Kalkulator!F14="8,5%/12,5%"</f>
        <v>0</v>
      </c>
      <c r="E53" s="7">
        <f t="shared" si="1"/>
        <v>0</v>
      </c>
      <c r="F53" s="7">
        <f t="shared" si="2"/>
        <v>0</v>
      </c>
      <c r="G53" s="7">
        <f t="shared" si="3"/>
        <v>0</v>
      </c>
      <c r="H53" s="7">
        <f t="shared" si="4"/>
        <v>0</v>
      </c>
      <c r="I53" s="7">
        <f t="shared" si="5"/>
        <v>0</v>
      </c>
    </row>
    <row r="54" spans="2:9" ht="15" thickTop="1" x14ac:dyDescent="0.3">
      <c r="B54" s="14" t="s">
        <v>4</v>
      </c>
      <c r="C54" s="6">
        <f>SUM(C51:C53)</f>
        <v>3886.5834792000001</v>
      </c>
    </row>
    <row r="55" spans="2:9" x14ac:dyDescent="0.3">
      <c r="D55" s="7"/>
      <c r="E55" s="7"/>
    </row>
    <row r="57" spans="2:9" x14ac:dyDescent="0.3">
      <c r="B57" s="143" t="s">
        <v>22</v>
      </c>
      <c r="C57" s="144"/>
    </row>
    <row r="58" spans="2:9" x14ac:dyDescent="0.3">
      <c r="B58" s="1" t="s">
        <v>40</v>
      </c>
      <c r="C58" s="2">
        <f>C5-C8-D17-C34-C54</f>
        <v>34830.119560799998</v>
      </c>
      <c r="D58" s="7"/>
    </row>
    <row r="59" spans="2:9" x14ac:dyDescent="0.3">
      <c r="B59" s="5" t="s">
        <v>23</v>
      </c>
      <c r="C59" s="6">
        <f>C58/6</f>
        <v>5805.0199267999997</v>
      </c>
    </row>
    <row r="62" spans="2:9" x14ac:dyDescent="0.3">
      <c r="C62" s="7"/>
    </row>
    <row r="63" spans="2:9" x14ac:dyDescent="0.3">
      <c r="C63" s="7"/>
    </row>
    <row r="64" spans="2:9" x14ac:dyDescent="0.3">
      <c r="C64" s="7"/>
    </row>
    <row r="65" spans="3:3" x14ac:dyDescent="0.3">
      <c r="C65" s="7"/>
    </row>
    <row r="66" spans="3:3" x14ac:dyDescent="0.3">
      <c r="C66" s="7"/>
    </row>
    <row r="67" spans="3:3" x14ac:dyDescent="0.3">
      <c r="C67" s="7"/>
    </row>
  </sheetData>
  <sheetProtection algorithmName="SHA-512" hashValue="Bn8loyDCXKYL67IzoveNZfwAQRRNjV1YpG07jp5P37XDlKuPgwCtHQm2sazW6VQ364dmBHA2RBG+/ZhLH3cUoQ==" saltValue="/NKDUUa+PZpT7ziXpfuKBA==" spinCount="100000" sheet="1" objects="1" scenarios="1"/>
  <mergeCells count="12">
    <mergeCell ref="B50:C50"/>
    <mergeCell ref="B25:C25"/>
    <mergeCell ref="B31:C31"/>
    <mergeCell ref="B57:C57"/>
    <mergeCell ref="B1:C1"/>
    <mergeCell ref="B7:C7"/>
    <mergeCell ref="B10:D10"/>
    <mergeCell ref="C11:D11"/>
    <mergeCell ref="B17:C17"/>
    <mergeCell ref="B19:C19"/>
    <mergeCell ref="B38:C38"/>
    <mergeCell ref="B44:C4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39CDC-C215-4162-9A26-8AB64DF72411}">
  <dimension ref="B1:I67"/>
  <sheetViews>
    <sheetView workbookViewId="0">
      <selection activeCell="C58" sqref="C58"/>
    </sheetView>
  </sheetViews>
  <sheetFormatPr defaultRowHeight="14.4" x14ac:dyDescent="0.3"/>
  <cols>
    <col min="2" max="2" width="16.6640625" customWidth="1"/>
    <col min="3" max="3" width="15" customWidth="1"/>
    <col min="4" max="4" width="13.44140625" customWidth="1"/>
    <col min="5" max="5" width="16.6640625" customWidth="1"/>
    <col min="6" max="7" width="13.88671875" customWidth="1"/>
    <col min="8" max="8" width="12.33203125" bestFit="1" customWidth="1"/>
    <col min="9" max="9" width="14.5546875" customWidth="1"/>
  </cols>
  <sheetData>
    <row r="1" spans="2:5" x14ac:dyDescent="0.3">
      <c r="B1" s="143" t="s">
        <v>0</v>
      </c>
      <c r="C1" s="144"/>
    </row>
    <row r="2" spans="2:5" x14ac:dyDescent="0.3">
      <c r="B2" s="1" t="s">
        <v>1</v>
      </c>
      <c r="C2" s="2">
        <f>IF(Kalkulator!F10&lt;&gt;"",Kalkulator!H10*12,0)</f>
        <v>108000</v>
      </c>
    </row>
    <row r="3" spans="2:5" x14ac:dyDescent="0.3">
      <c r="B3" s="1" t="s">
        <v>2</v>
      </c>
      <c r="C3" s="2">
        <f>IF(Kalkulator!F12&lt;&gt;"",Kalkulator!H12*6,0)</f>
        <v>0</v>
      </c>
    </row>
    <row r="4" spans="2:5" ht="15" thickBot="1" x14ac:dyDescent="0.35">
      <c r="B4" s="3" t="s">
        <v>3</v>
      </c>
      <c r="C4" s="4">
        <f>IF(Kalkulator!F14&lt;&gt;"",Kalkulator!H14*6,0)</f>
        <v>0</v>
      </c>
    </row>
    <row r="5" spans="2:5" ht="15" thickTop="1" x14ac:dyDescent="0.3">
      <c r="B5" s="5" t="s">
        <v>4</v>
      </c>
      <c r="C5" s="6">
        <f>SUM(C2:C4)</f>
        <v>108000</v>
      </c>
    </row>
    <row r="6" spans="2:5" x14ac:dyDescent="0.3">
      <c r="C6" s="7"/>
    </row>
    <row r="7" spans="2:5" x14ac:dyDescent="0.3">
      <c r="B7" s="143" t="s">
        <v>5</v>
      </c>
      <c r="C7" s="144"/>
    </row>
    <row r="8" spans="2:5" x14ac:dyDescent="0.3">
      <c r="B8" s="8" t="s">
        <v>4</v>
      </c>
      <c r="C8" s="6">
        <f>Kalkulator!H20*12</f>
        <v>12000</v>
      </c>
    </row>
    <row r="9" spans="2:5" x14ac:dyDescent="0.3">
      <c r="B9" s="9"/>
      <c r="C9" s="7"/>
    </row>
    <row r="10" spans="2:5" x14ac:dyDescent="0.3">
      <c r="B10" s="143" t="s">
        <v>6</v>
      </c>
      <c r="C10" s="145"/>
      <c r="D10" s="144"/>
    </row>
    <row r="11" spans="2:5" x14ac:dyDescent="0.3">
      <c r="B11" s="10" t="s">
        <v>7</v>
      </c>
      <c r="C11" s="146">
        <f>IF(Kalkulator!H26="Normalny ZUS",3553.2,IF(Kalkulator!H26="Mały ZUS",903,0))</f>
        <v>3553.2</v>
      </c>
      <c r="D11" s="147"/>
    </row>
    <row r="12" spans="2:5" x14ac:dyDescent="0.3">
      <c r="B12" s="1" t="s">
        <v>8</v>
      </c>
      <c r="C12" s="11">
        <v>0.19520000000000001</v>
      </c>
      <c r="D12" s="2">
        <f>ROUND($C$11*C12, 2)</f>
        <v>693.58</v>
      </c>
    </row>
    <row r="13" spans="2:5" x14ac:dyDescent="0.3">
      <c r="B13" s="1" t="s">
        <v>9</v>
      </c>
      <c r="C13" s="11">
        <v>0.08</v>
      </c>
      <c r="D13" s="2">
        <f>ROUND($C$11*C13, 2)</f>
        <v>284.26</v>
      </c>
    </row>
    <row r="14" spans="2:5" x14ac:dyDescent="0.3">
      <c r="B14" s="1" t="s">
        <v>10</v>
      </c>
      <c r="C14" s="11">
        <f>IF(Kalkulator!H28="Tak",2.45%,0%)</f>
        <v>2.4500000000000001E-2</v>
      </c>
      <c r="D14" s="2">
        <f>ROUND($C$11*C14, 2)</f>
        <v>87.05</v>
      </c>
      <c r="E14" s="7"/>
    </row>
    <row r="15" spans="2:5" x14ac:dyDescent="0.3">
      <c r="B15" s="1" t="s">
        <v>11</v>
      </c>
      <c r="C15" s="11">
        <v>1.67E-2</v>
      </c>
      <c r="D15" s="2">
        <f>ROUND($C$11*C15, 2)</f>
        <v>59.34</v>
      </c>
    </row>
    <row r="16" spans="2:5" ht="15" thickBot="1" x14ac:dyDescent="0.35">
      <c r="B16" s="3" t="s">
        <v>12</v>
      </c>
      <c r="C16" s="12">
        <v>2.4500000000000001E-2</v>
      </c>
      <c r="D16" s="2">
        <f>ROUND($C$11*C16, 2)</f>
        <v>87.05</v>
      </c>
    </row>
    <row r="17" spans="2:8" ht="15" thickTop="1" x14ac:dyDescent="0.3">
      <c r="B17" s="148" t="s">
        <v>13</v>
      </c>
      <c r="C17" s="149"/>
      <c r="D17" s="13">
        <f>SUM(D12:D16)*12</f>
        <v>14535.36</v>
      </c>
      <c r="E17" s="7"/>
    </row>
    <row r="18" spans="2:8" x14ac:dyDescent="0.3">
      <c r="D18" s="7"/>
    </row>
    <row r="19" spans="2:8" x14ac:dyDescent="0.3">
      <c r="B19" s="143" t="s">
        <v>14</v>
      </c>
      <c r="C19" s="144"/>
      <c r="D19" s="7"/>
      <c r="H19" s="7"/>
    </row>
    <row r="20" spans="2:8" x14ac:dyDescent="0.3">
      <c r="B20" s="1" t="s">
        <v>1</v>
      </c>
      <c r="C20" s="2">
        <f>(C2/$C$5)*$D$17</f>
        <v>14535.36</v>
      </c>
      <c r="D20" s="7"/>
    </row>
    <row r="21" spans="2:8" x14ac:dyDescent="0.3">
      <c r="B21" s="1" t="s">
        <v>2</v>
      </c>
      <c r="C21" s="2">
        <f t="shared" ref="C21:C22" si="0">(C3/$C$5)*$D$17</f>
        <v>0</v>
      </c>
      <c r="D21" s="7"/>
    </row>
    <row r="22" spans="2:8" x14ac:dyDescent="0.3">
      <c r="B22" s="5" t="s">
        <v>3</v>
      </c>
      <c r="C22" s="6">
        <f t="shared" si="0"/>
        <v>0</v>
      </c>
      <c r="D22" s="7"/>
    </row>
    <row r="25" spans="2:8" x14ac:dyDescent="0.3">
      <c r="B25" s="143" t="s">
        <v>16</v>
      </c>
      <c r="C25" s="144"/>
    </row>
    <row r="26" spans="2:8" x14ac:dyDescent="0.3">
      <c r="B26" s="1" t="s">
        <v>17</v>
      </c>
      <c r="C26" s="2">
        <f>C5</f>
        <v>108000</v>
      </c>
    </row>
    <row r="27" spans="2:8" x14ac:dyDescent="0.3">
      <c r="B27" s="1" t="s">
        <v>18</v>
      </c>
      <c r="C27" s="15">
        <f>D17</f>
        <v>14535.36</v>
      </c>
    </row>
    <row r="28" spans="2:8" x14ac:dyDescent="0.3">
      <c r="B28" s="5" t="s">
        <v>4</v>
      </c>
      <c r="C28" s="6">
        <f>C26-C27</f>
        <v>93464.639999999999</v>
      </c>
    </row>
    <row r="31" spans="2:8" x14ac:dyDescent="0.3">
      <c r="B31" s="143" t="s">
        <v>19</v>
      </c>
      <c r="C31" s="144"/>
      <c r="D31" s="25">
        <v>6221.04</v>
      </c>
    </row>
    <row r="32" spans="2:8" x14ac:dyDescent="0.3">
      <c r="B32" s="1" t="s">
        <v>7</v>
      </c>
      <c r="C32" s="2">
        <f>IF($C$28/12&lt;=5000,D31*60%,IF(AND($C$28/12&gt;5000,$C$28/12&lt;=25000),D31*100%,D31*180%))</f>
        <v>6221.04</v>
      </c>
    </row>
    <row r="33" spans="2:5" x14ac:dyDescent="0.3">
      <c r="B33" s="1" t="s">
        <v>20</v>
      </c>
      <c r="C33" s="16">
        <v>0.09</v>
      </c>
    </row>
    <row r="34" spans="2:5" x14ac:dyDescent="0.3">
      <c r="B34" s="1" t="s">
        <v>21</v>
      </c>
      <c r="C34" s="2">
        <f>C32*C33*12</f>
        <v>6718.7232000000004</v>
      </c>
      <c r="E34" s="7"/>
    </row>
    <row r="35" spans="2:5" x14ac:dyDescent="0.3">
      <c r="B35" s="26" t="s">
        <v>37</v>
      </c>
      <c r="C35" s="6">
        <f>C34*0.5</f>
        <v>3359.3616000000002</v>
      </c>
      <c r="D35" s="1"/>
    </row>
    <row r="38" spans="2:5" x14ac:dyDescent="0.3">
      <c r="B38" s="143" t="s">
        <v>38</v>
      </c>
      <c r="C38" s="144"/>
    </row>
    <row r="39" spans="2:5" x14ac:dyDescent="0.3">
      <c r="B39" s="1" t="s">
        <v>1</v>
      </c>
      <c r="C39" s="2">
        <f>C35*C2/C5</f>
        <v>3359.3616000000002</v>
      </c>
    </row>
    <row r="40" spans="2:5" x14ac:dyDescent="0.3">
      <c r="B40" s="1" t="s">
        <v>2</v>
      </c>
      <c r="C40" s="2">
        <f>C35*C3/C5</f>
        <v>0</v>
      </c>
    </row>
    <row r="41" spans="2:5" x14ac:dyDescent="0.3">
      <c r="B41" s="5" t="s">
        <v>3</v>
      </c>
      <c r="C41" s="6">
        <f>C35*C4/C5</f>
        <v>0</v>
      </c>
    </row>
    <row r="44" spans="2:5" x14ac:dyDescent="0.3">
      <c r="B44" s="143" t="s">
        <v>39</v>
      </c>
      <c r="C44" s="144"/>
    </row>
    <row r="45" spans="2:5" x14ac:dyDescent="0.3">
      <c r="B45" s="1" t="s">
        <v>1</v>
      </c>
      <c r="C45" s="2">
        <f>C2-C20-C39</f>
        <v>90105.278399999996</v>
      </c>
      <c r="D45" s="7"/>
    </row>
    <row r="46" spans="2:5" x14ac:dyDescent="0.3">
      <c r="B46" s="1" t="s">
        <v>2</v>
      </c>
      <c r="C46" s="2">
        <f>C3-C21-C40</f>
        <v>0</v>
      </c>
    </row>
    <row r="47" spans="2:5" x14ac:dyDescent="0.3">
      <c r="B47" s="5" t="s">
        <v>3</v>
      </c>
      <c r="C47" s="6">
        <f>C4-C22-C41</f>
        <v>0</v>
      </c>
    </row>
    <row r="48" spans="2:5" x14ac:dyDescent="0.3">
      <c r="E48" s="7"/>
    </row>
    <row r="50" spans="2:9" x14ac:dyDescent="0.3">
      <c r="B50" s="143" t="s">
        <v>15</v>
      </c>
      <c r="C50" s="144"/>
    </row>
    <row r="51" spans="2:9" x14ac:dyDescent="0.3">
      <c r="B51" s="1" t="s">
        <v>1</v>
      </c>
      <c r="C51" s="2">
        <f>IFERROR(IF(D51,I51,C45*Kalkulator!F10),0)</f>
        <v>7658.9486640000005</v>
      </c>
      <c r="D51" t="b">
        <f>Kalkulator!F10="8,5%/12,5%"</f>
        <v>0</v>
      </c>
      <c r="E51" s="7">
        <f>MIN(C45,100000)</f>
        <v>90105.278399999996</v>
      </c>
      <c r="F51" s="7">
        <f>E51*8.5%</f>
        <v>7658.9486640000005</v>
      </c>
      <c r="G51" s="7">
        <f>MAX((C45-100000),0)</f>
        <v>0</v>
      </c>
      <c r="H51" s="7">
        <f>G51*12.5%</f>
        <v>0</v>
      </c>
      <c r="I51" s="7">
        <f>F51+H51</f>
        <v>7658.9486640000005</v>
      </c>
    </row>
    <row r="52" spans="2:9" x14ac:dyDescent="0.3">
      <c r="B52" s="1" t="s">
        <v>2</v>
      </c>
      <c r="C52" s="2">
        <f>IFERROR(IF(D52,I52,C46*Kalkulator!F12),0)</f>
        <v>0</v>
      </c>
      <c r="D52" t="b">
        <f>Kalkulator!F12="8,5%/12,5%"</f>
        <v>0</v>
      </c>
      <c r="E52" s="7">
        <f t="shared" ref="E52:E53" si="1">MIN(C46,100000)</f>
        <v>0</v>
      </c>
      <c r="F52" s="7">
        <f t="shared" ref="F52:F53" si="2">E52*8.5%</f>
        <v>0</v>
      </c>
      <c r="G52" s="7">
        <f t="shared" ref="G52:G53" si="3">MAX((C46-100000),0)</f>
        <v>0</v>
      </c>
      <c r="H52" s="7">
        <f t="shared" ref="H52:H53" si="4">G52*12.5%</f>
        <v>0</v>
      </c>
      <c r="I52" s="7">
        <f t="shared" ref="I52:I53" si="5">F52+H52</f>
        <v>0</v>
      </c>
    </row>
    <row r="53" spans="2:9" ht="15" thickBot="1" x14ac:dyDescent="0.35">
      <c r="B53" s="3" t="s">
        <v>3</v>
      </c>
      <c r="C53" s="4">
        <f>IFERROR(IF(D53,I53,C47*Kalkulator!F14),0)</f>
        <v>0</v>
      </c>
      <c r="D53" t="b">
        <f>Kalkulator!F14="8,5%/12,5%"</f>
        <v>0</v>
      </c>
      <c r="E53" s="7">
        <f t="shared" si="1"/>
        <v>0</v>
      </c>
      <c r="F53" s="7">
        <f t="shared" si="2"/>
        <v>0</v>
      </c>
      <c r="G53" s="7">
        <f t="shared" si="3"/>
        <v>0</v>
      </c>
      <c r="H53" s="7">
        <f t="shared" si="4"/>
        <v>0</v>
      </c>
      <c r="I53" s="7">
        <f t="shared" si="5"/>
        <v>0</v>
      </c>
    </row>
    <row r="54" spans="2:9" ht="15" thickTop="1" x14ac:dyDescent="0.3">
      <c r="B54" s="14" t="s">
        <v>4</v>
      </c>
      <c r="C54" s="6">
        <f>SUM(C51:C53)</f>
        <v>7658.9486640000005</v>
      </c>
    </row>
    <row r="55" spans="2:9" x14ac:dyDescent="0.3">
      <c r="D55" s="7"/>
      <c r="E55" s="7"/>
    </row>
    <row r="57" spans="2:9" x14ac:dyDescent="0.3">
      <c r="B57" s="143" t="s">
        <v>22</v>
      </c>
      <c r="C57" s="144"/>
    </row>
    <row r="58" spans="2:9" x14ac:dyDescent="0.3">
      <c r="B58" s="1" t="s">
        <v>98</v>
      </c>
      <c r="C58" s="2">
        <f>C5-C8-D17-C34-C54</f>
        <v>67086.96813600001</v>
      </c>
      <c r="D58" s="7"/>
    </row>
    <row r="59" spans="2:9" x14ac:dyDescent="0.3">
      <c r="B59" s="5" t="s">
        <v>23</v>
      </c>
      <c r="C59" s="6">
        <f>C58/12</f>
        <v>5590.5806780000012</v>
      </c>
    </row>
    <row r="62" spans="2:9" x14ac:dyDescent="0.3">
      <c r="C62" s="7"/>
    </row>
    <row r="63" spans="2:9" x14ac:dyDescent="0.3">
      <c r="C63" s="7"/>
    </row>
    <row r="64" spans="2:9" x14ac:dyDescent="0.3">
      <c r="C64" s="7"/>
    </row>
    <row r="65" spans="3:3" x14ac:dyDescent="0.3">
      <c r="C65" s="7"/>
    </row>
    <row r="66" spans="3:3" x14ac:dyDescent="0.3">
      <c r="C66" s="7"/>
    </row>
    <row r="67" spans="3:3" x14ac:dyDescent="0.3">
      <c r="C67" s="7"/>
    </row>
  </sheetData>
  <sheetProtection algorithmName="SHA-512" hashValue="gOQJaBAS0B6eqCYURiEiGjmXw/WNw7W/tkMWptShEa45AGUuha0nWem0u3X402p0mqNHAWnXdopti/02UqGQVw==" saltValue="WFgZ2l6kl/HQNdQdTfdxLw==" spinCount="100000" sheet="1" objects="1" scenarios="1"/>
  <mergeCells count="12">
    <mergeCell ref="B57:C57"/>
    <mergeCell ref="B1:C1"/>
    <mergeCell ref="B7:C7"/>
    <mergeCell ref="B10:D10"/>
    <mergeCell ref="C11:D11"/>
    <mergeCell ref="B17:C17"/>
    <mergeCell ref="B19:C19"/>
    <mergeCell ref="B25:C25"/>
    <mergeCell ref="B31:C31"/>
    <mergeCell ref="B38:C38"/>
    <mergeCell ref="B44:C44"/>
    <mergeCell ref="B50:C5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91A9E-6367-471F-9504-2562E563DB2C}">
  <sheetPr>
    <pageSetUpPr fitToPage="1"/>
  </sheetPr>
  <dimension ref="A3:V28"/>
  <sheetViews>
    <sheetView topLeftCell="G5" workbookViewId="0">
      <selection activeCell="C59" sqref="C59"/>
    </sheetView>
  </sheetViews>
  <sheetFormatPr defaultColWidth="9.109375" defaultRowHeight="14.4" x14ac:dyDescent="0.3"/>
  <cols>
    <col min="1" max="1" width="9.109375" style="27"/>
    <col min="2" max="2" width="14.6640625" style="27" customWidth="1"/>
    <col min="3" max="3" width="15" style="27" bestFit="1" customWidth="1"/>
    <col min="4" max="4" width="16" style="27" customWidth="1"/>
    <col min="5" max="5" width="15.88671875" style="27" customWidth="1"/>
    <col min="6" max="6" width="13.44140625" style="27" bestFit="1" customWidth="1"/>
    <col min="7" max="7" width="12.44140625" style="27" bestFit="1" customWidth="1"/>
    <col min="8" max="8" width="12.44140625" style="27" customWidth="1"/>
    <col min="9" max="9" width="12.44140625" style="27" bestFit="1" customWidth="1"/>
    <col min="10" max="10" width="13.44140625" style="27" bestFit="1" customWidth="1"/>
    <col min="11" max="11" width="13.44140625" style="27" customWidth="1"/>
    <col min="12" max="12" width="12.44140625" style="27" customWidth="1"/>
    <col min="13" max="13" width="15.33203125" style="27" bestFit="1" customWidth="1"/>
    <col min="14" max="14" width="19.109375" style="27" customWidth="1"/>
    <col min="15" max="16" width="13.88671875" style="27" bestFit="1" customWidth="1"/>
    <col min="17" max="17" width="15.33203125" style="27" bestFit="1" customWidth="1"/>
    <col min="18" max="18" width="12.6640625" style="27" bestFit="1" customWidth="1"/>
    <col min="19" max="19" width="15" style="27" customWidth="1"/>
    <col min="20" max="20" width="11.33203125" style="27" customWidth="1"/>
    <col min="21" max="21" width="15.44140625" style="27" customWidth="1"/>
    <col min="22" max="16384" width="9.109375" style="27"/>
  </cols>
  <sheetData>
    <row r="3" spans="1:22" ht="15" customHeight="1" x14ac:dyDescent="0.3">
      <c r="B3" s="161" t="s">
        <v>42</v>
      </c>
      <c r="C3" s="162"/>
      <c r="D3" s="163"/>
      <c r="E3" s="161" t="s">
        <v>43</v>
      </c>
      <c r="F3" s="163"/>
      <c r="G3" s="177" t="s">
        <v>44</v>
      </c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</row>
    <row r="4" spans="1:22" ht="15" customHeight="1" x14ac:dyDescent="0.3">
      <c r="B4" s="164"/>
      <c r="C4" s="165"/>
      <c r="D4" s="166"/>
      <c r="E4" s="164"/>
      <c r="F4" s="166"/>
      <c r="G4" s="167" t="s">
        <v>45</v>
      </c>
      <c r="H4" s="169" t="s">
        <v>46</v>
      </c>
      <c r="I4" s="170"/>
      <c r="J4" s="173" t="s">
        <v>47</v>
      </c>
      <c r="K4" s="174"/>
      <c r="L4" s="174"/>
      <c r="M4" s="174"/>
      <c r="N4" s="175"/>
      <c r="O4" s="150" t="s">
        <v>118</v>
      </c>
      <c r="P4" s="167" t="s">
        <v>48</v>
      </c>
      <c r="Q4" s="167" t="s">
        <v>49</v>
      </c>
      <c r="R4" s="150" t="s">
        <v>50</v>
      </c>
      <c r="S4" s="150" t="s">
        <v>51</v>
      </c>
      <c r="T4" s="150" t="s">
        <v>86</v>
      </c>
      <c r="U4" s="150" t="s">
        <v>99</v>
      </c>
      <c r="V4" s="176" t="s">
        <v>123</v>
      </c>
    </row>
    <row r="5" spans="1:22" ht="15" customHeight="1" x14ac:dyDescent="0.3">
      <c r="B5" s="155">
        <f>SUM(Kalkulator!H10:J15)</f>
        <v>9000</v>
      </c>
      <c r="C5" s="156"/>
      <c r="D5" s="157"/>
      <c r="E5" s="155">
        <f>Kalkulator!H20</f>
        <v>1000</v>
      </c>
      <c r="F5" s="157"/>
      <c r="G5" s="168"/>
      <c r="H5" s="171"/>
      <c r="I5" s="172"/>
      <c r="J5" s="28" t="s">
        <v>52</v>
      </c>
      <c r="K5" s="28" t="s">
        <v>53</v>
      </c>
      <c r="L5" s="28" t="s">
        <v>54</v>
      </c>
      <c r="M5" s="28" t="s">
        <v>55</v>
      </c>
      <c r="N5" s="28" t="s">
        <v>56</v>
      </c>
      <c r="O5" s="151"/>
      <c r="P5" s="168"/>
      <c r="Q5" s="168"/>
      <c r="R5" s="151"/>
      <c r="S5" s="151"/>
      <c r="T5" s="151"/>
      <c r="U5" s="151"/>
      <c r="V5" s="176"/>
    </row>
    <row r="6" spans="1:22" ht="15" customHeight="1" x14ac:dyDescent="0.3">
      <c r="B6" s="158"/>
      <c r="C6" s="159"/>
      <c r="D6" s="160"/>
      <c r="E6" s="158"/>
      <c r="F6" s="160"/>
      <c r="G6" s="29" t="s">
        <v>57</v>
      </c>
      <c r="H6" s="29"/>
      <c r="I6" s="30">
        <f>IF(Kalkulator!H26="Normalny ZUS",3553.2,IF(Kalkulator!H26="Mały ZUS",903,0))</f>
        <v>3553.2</v>
      </c>
      <c r="J6" s="31">
        <v>0.19520000000000001</v>
      </c>
      <c r="K6" s="31">
        <v>0.08</v>
      </c>
      <c r="L6" s="31">
        <f>IF(Kalkulator!H28="Tak",2.45%,0%)</f>
        <v>2.4500000000000001E-2</v>
      </c>
      <c r="M6" s="31">
        <v>1.67E-2</v>
      </c>
      <c r="N6" s="31">
        <v>2.4500000000000001E-2</v>
      </c>
      <c r="O6" s="32">
        <v>3010</v>
      </c>
      <c r="P6" s="33">
        <v>0.09</v>
      </c>
      <c r="Q6" s="33">
        <v>0.12</v>
      </c>
      <c r="R6" s="29">
        <v>120000</v>
      </c>
      <c r="S6" s="33">
        <f>32%</f>
        <v>0.32</v>
      </c>
      <c r="T6" s="33">
        <v>0.04</v>
      </c>
      <c r="U6" s="29">
        <f>MAX(30000-Kalkulator!H30,0)*Q6</f>
        <v>3600</v>
      </c>
      <c r="V6" s="58">
        <f>(R6-U6/Q6)*Q6</f>
        <v>10800</v>
      </c>
    </row>
    <row r="7" spans="1:22" x14ac:dyDescent="0.3">
      <c r="E7" s="34"/>
      <c r="F7" s="34"/>
      <c r="G7" s="34"/>
      <c r="N7" s="35"/>
      <c r="P7" s="35"/>
      <c r="U7" s="57"/>
    </row>
    <row r="8" spans="1:22" x14ac:dyDescent="0.3">
      <c r="B8" s="36"/>
      <c r="C8" s="37"/>
      <c r="D8" s="37"/>
      <c r="E8" s="37"/>
      <c r="F8" s="37"/>
      <c r="G8" s="37"/>
      <c r="N8" s="37"/>
      <c r="O8" s="37"/>
      <c r="P8" s="38"/>
      <c r="Q8" s="37"/>
      <c r="S8" s="39"/>
    </row>
    <row r="9" spans="1:22" ht="15" customHeight="1" x14ac:dyDescent="0.3">
      <c r="A9" s="179" t="s">
        <v>58</v>
      </c>
      <c r="B9" s="180" t="s">
        <v>59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2"/>
      <c r="S9" s="39"/>
    </row>
    <row r="10" spans="1:22" ht="15" customHeight="1" x14ac:dyDescent="0.3">
      <c r="A10" s="179"/>
      <c r="B10" s="152" t="s">
        <v>60</v>
      </c>
      <c r="C10" s="152" t="s">
        <v>61</v>
      </c>
      <c r="D10" s="152" t="s">
        <v>62</v>
      </c>
      <c r="E10" s="183" t="s">
        <v>47</v>
      </c>
      <c r="F10" s="184"/>
      <c r="G10" s="184"/>
      <c r="H10" s="184"/>
      <c r="I10" s="185"/>
      <c r="J10" s="183" t="s">
        <v>63</v>
      </c>
      <c r="K10" s="185"/>
      <c r="L10" s="152" t="s">
        <v>64</v>
      </c>
      <c r="M10" s="152" t="s">
        <v>65</v>
      </c>
      <c r="N10" s="152" t="s">
        <v>66</v>
      </c>
      <c r="O10" s="152" t="s">
        <v>67</v>
      </c>
      <c r="P10" s="152" t="s">
        <v>68</v>
      </c>
      <c r="Q10" s="152" t="s">
        <v>69</v>
      </c>
      <c r="S10" s="39"/>
    </row>
    <row r="11" spans="1:22" x14ac:dyDescent="0.3">
      <c r="A11" s="179"/>
      <c r="B11" s="153"/>
      <c r="C11" s="153"/>
      <c r="D11" s="153"/>
      <c r="E11" s="186"/>
      <c r="F11" s="187"/>
      <c r="G11" s="187"/>
      <c r="H11" s="187"/>
      <c r="I11" s="188"/>
      <c r="J11" s="186"/>
      <c r="K11" s="188"/>
      <c r="L11" s="153"/>
      <c r="M11" s="153"/>
      <c r="N11" s="153"/>
      <c r="O11" s="153"/>
      <c r="P11" s="153"/>
      <c r="Q11" s="153"/>
    </row>
    <row r="12" spans="1:22" ht="15" customHeight="1" x14ac:dyDescent="0.3">
      <c r="A12" s="179"/>
      <c r="B12" s="153"/>
      <c r="C12" s="153"/>
      <c r="D12" s="153"/>
      <c r="E12" s="152" t="s">
        <v>52</v>
      </c>
      <c r="F12" s="152" t="s">
        <v>53</v>
      </c>
      <c r="G12" s="152" t="s">
        <v>54</v>
      </c>
      <c r="H12" s="152" t="s">
        <v>55</v>
      </c>
      <c r="I12" s="152" t="s">
        <v>56</v>
      </c>
      <c r="J12" s="152" t="s">
        <v>70</v>
      </c>
      <c r="K12" s="152" t="s">
        <v>71</v>
      </c>
      <c r="L12" s="153"/>
      <c r="M12" s="153"/>
      <c r="N12" s="153"/>
      <c r="O12" s="153"/>
      <c r="P12" s="153"/>
      <c r="Q12" s="153"/>
    </row>
    <row r="13" spans="1:22" x14ac:dyDescent="0.3">
      <c r="A13" s="179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</row>
    <row r="14" spans="1:22" x14ac:dyDescent="0.3">
      <c r="A14" s="179"/>
      <c r="B14" s="40" t="s">
        <v>72</v>
      </c>
      <c r="C14" s="41">
        <f t="shared" ref="C14:C19" si="0">$B$5</f>
        <v>9000</v>
      </c>
      <c r="D14" s="41">
        <f>C14</f>
        <v>9000</v>
      </c>
      <c r="E14" s="41">
        <f>ROUND($I$6*$J$6,2)</f>
        <v>693.58</v>
      </c>
      <c r="F14" s="41">
        <f>ROUND($I$6*$K$6,2)</f>
        <v>284.26</v>
      </c>
      <c r="G14" s="41">
        <f>ROUND($I$6*$L$6,2)</f>
        <v>87.05</v>
      </c>
      <c r="H14" s="41">
        <f>ROUND($I$6*$M$6,2)</f>
        <v>59.34</v>
      </c>
      <c r="I14" s="41">
        <f>ROUND($I$6*$N$6,2)</f>
        <v>87.05</v>
      </c>
      <c r="J14" s="41">
        <f>MAX(C14-SUM(E14:I14,L14),$O$6)*$P$6</f>
        <v>610.98479999999995</v>
      </c>
      <c r="K14" s="41">
        <v>0</v>
      </c>
      <c r="L14" s="41">
        <f>$E$5</f>
        <v>1000</v>
      </c>
      <c r="M14" s="41">
        <f t="shared" ref="M14:M19" si="1">ROUND(($C14-SUM($E14:$I14,$L14)),0)</f>
        <v>6789</v>
      </c>
      <c r="N14" s="41">
        <f>M14+Kalkulator!H30</f>
        <v>6789</v>
      </c>
      <c r="O14" s="41">
        <f>MAX(IF($N14&lt;=$R$6,$M14*$Q$6-$U$6/6,((($N14-$R$6)*$S$6)+$V$6)),0)</f>
        <v>214.67999999999995</v>
      </c>
      <c r="P14" s="41">
        <f>ROUND($O14-$K14,0)</f>
        <v>215</v>
      </c>
      <c r="Q14" s="41">
        <f>$C14-SUM($E14:$J14)-$L14-$P14</f>
        <v>5962.7352000000001</v>
      </c>
    </row>
    <row r="15" spans="1:22" x14ac:dyDescent="0.3">
      <c r="A15" s="179"/>
      <c r="B15" s="40" t="s">
        <v>73</v>
      </c>
      <c r="C15" s="41">
        <f t="shared" si="0"/>
        <v>9000</v>
      </c>
      <c r="D15" s="41">
        <f>C15+D14</f>
        <v>18000</v>
      </c>
      <c r="E15" s="41">
        <f t="shared" ref="E15:E19" si="2">ROUND($I$6*$J$6,2)</f>
        <v>693.58</v>
      </c>
      <c r="F15" s="41">
        <f t="shared" ref="F15:F19" si="3">ROUND($I$6*$K$6,2)</f>
        <v>284.26</v>
      </c>
      <c r="G15" s="41">
        <f t="shared" ref="G15:G19" si="4">ROUND($I$6*$L$6,2)</f>
        <v>87.05</v>
      </c>
      <c r="H15" s="41">
        <f t="shared" ref="H15:H19" si="5">ROUND($I$6*$M$6,2)</f>
        <v>59.34</v>
      </c>
      <c r="I15" s="41">
        <f t="shared" ref="I15:I19" si="6">ROUND($I$6*$N$6,2)</f>
        <v>87.05</v>
      </c>
      <c r="J15" s="41">
        <f t="shared" ref="J15:J19" si="7">MAX(C15-SUM(E15:I15,L15),$O$6)*$P$6</f>
        <v>610.98479999999995</v>
      </c>
      <c r="K15" s="41">
        <v>0</v>
      </c>
      <c r="L15" s="41">
        <f t="shared" ref="L15:L19" si="8">$E$5</f>
        <v>1000</v>
      </c>
      <c r="M15" s="41">
        <f t="shared" si="1"/>
        <v>6789</v>
      </c>
      <c r="N15" s="41">
        <f>$N14+$M15</f>
        <v>13578</v>
      </c>
      <c r="O15" s="41">
        <f>MAX(IF($N15&lt;=$R$6,$M15*$Q$6-$U$6/6,((($N15-$R$6)*$S$6)+$V$6-SUM($O$14))),0)</f>
        <v>214.67999999999995</v>
      </c>
      <c r="P15" s="41">
        <f t="shared" ref="P15:P19" si="9">ROUND($O15-$K15,0)</f>
        <v>215</v>
      </c>
      <c r="Q15" s="41">
        <f t="shared" ref="Q15:Q19" si="10">$C15-SUM($E15:$J15)-$L15-$P15</f>
        <v>5962.7352000000001</v>
      </c>
    </row>
    <row r="16" spans="1:22" x14ac:dyDescent="0.3">
      <c r="A16" s="179"/>
      <c r="B16" s="40" t="s">
        <v>74</v>
      </c>
      <c r="C16" s="41">
        <f t="shared" si="0"/>
        <v>9000</v>
      </c>
      <c r="D16" s="41">
        <f t="shared" ref="D16:D19" si="11">C16+D15</f>
        <v>27000</v>
      </c>
      <c r="E16" s="41">
        <f t="shared" si="2"/>
        <v>693.58</v>
      </c>
      <c r="F16" s="41">
        <f t="shared" si="3"/>
        <v>284.26</v>
      </c>
      <c r="G16" s="41">
        <f t="shared" si="4"/>
        <v>87.05</v>
      </c>
      <c r="H16" s="41">
        <f t="shared" si="5"/>
        <v>59.34</v>
      </c>
      <c r="I16" s="41">
        <f t="shared" si="6"/>
        <v>87.05</v>
      </c>
      <c r="J16" s="41">
        <f t="shared" si="7"/>
        <v>610.98479999999995</v>
      </c>
      <c r="K16" s="41">
        <v>0</v>
      </c>
      <c r="L16" s="41">
        <f t="shared" si="8"/>
        <v>1000</v>
      </c>
      <c r="M16" s="41">
        <f t="shared" si="1"/>
        <v>6789</v>
      </c>
      <c r="N16" s="41">
        <f t="shared" ref="N16:N19" si="12">$N15+$M16</f>
        <v>20367</v>
      </c>
      <c r="O16" s="41">
        <f>MAX(IF($N16&lt;=$R$6,$M16*$Q$6-$U$6/6,((($N16-$R$6)*$S$6)+$V$6-SUM($O$14:$O15))),0)</f>
        <v>214.67999999999995</v>
      </c>
      <c r="P16" s="41">
        <f t="shared" si="9"/>
        <v>215</v>
      </c>
      <c r="Q16" s="41">
        <f t="shared" si="10"/>
        <v>5962.7352000000001</v>
      </c>
    </row>
    <row r="17" spans="1:17" x14ac:dyDescent="0.3">
      <c r="A17" s="179"/>
      <c r="B17" s="40" t="s">
        <v>75</v>
      </c>
      <c r="C17" s="41">
        <f t="shared" si="0"/>
        <v>9000</v>
      </c>
      <c r="D17" s="41">
        <f t="shared" si="11"/>
        <v>36000</v>
      </c>
      <c r="E17" s="41">
        <f t="shared" si="2"/>
        <v>693.58</v>
      </c>
      <c r="F17" s="41">
        <f t="shared" si="3"/>
        <v>284.26</v>
      </c>
      <c r="G17" s="41">
        <f t="shared" si="4"/>
        <v>87.05</v>
      </c>
      <c r="H17" s="41">
        <f t="shared" si="5"/>
        <v>59.34</v>
      </c>
      <c r="I17" s="41">
        <f t="shared" si="6"/>
        <v>87.05</v>
      </c>
      <c r="J17" s="41">
        <f t="shared" si="7"/>
        <v>610.98479999999995</v>
      </c>
      <c r="K17" s="41">
        <v>0</v>
      </c>
      <c r="L17" s="41">
        <f t="shared" si="8"/>
        <v>1000</v>
      </c>
      <c r="M17" s="41">
        <f t="shared" si="1"/>
        <v>6789</v>
      </c>
      <c r="N17" s="41">
        <f t="shared" si="12"/>
        <v>27156</v>
      </c>
      <c r="O17" s="41">
        <f>MAX(IF($N17&lt;=$R$6,$M17*$Q$6-$U$6/6,((($N17-$R$6)*$S$6)+$V$6-SUM($O$14:$O16))),0)</f>
        <v>214.67999999999995</v>
      </c>
      <c r="P17" s="41">
        <f t="shared" si="9"/>
        <v>215</v>
      </c>
      <c r="Q17" s="41">
        <f t="shared" si="10"/>
        <v>5962.7352000000001</v>
      </c>
    </row>
    <row r="18" spans="1:17" x14ac:dyDescent="0.3">
      <c r="A18" s="179"/>
      <c r="B18" s="40" t="s">
        <v>76</v>
      </c>
      <c r="C18" s="41">
        <f t="shared" si="0"/>
        <v>9000</v>
      </c>
      <c r="D18" s="41">
        <f t="shared" si="11"/>
        <v>45000</v>
      </c>
      <c r="E18" s="41">
        <f t="shared" si="2"/>
        <v>693.58</v>
      </c>
      <c r="F18" s="41">
        <f t="shared" si="3"/>
        <v>284.26</v>
      </c>
      <c r="G18" s="41">
        <f t="shared" si="4"/>
        <v>87.05</v>
      </c>
      <c r="H18" s="41">
        <f t="shared" si="5"/>
        <v>59.34</v>
      </c>
      <c r="I18" s="41">
        <f t="shared" si="6"/>
        <v>87.05</v>
      </c>
      <c r="J18" s="41">
        <f t="shared" si="7"/>
        <v>610.98479999999995</v>
      </c>
      <c r="K18" s="41">
        <v>0</v>
      </c>
      <c r="L18" s="41">
        <f t="shared" si="8"/>
        <v>1000</v>
      </c>
      <c r="M18" s="41">
        <f t="shared" si="1"/>
        <v>6789</v>
      </c>
      <c r="N18" s="41">
        <f t="shared" si="12"/>
        <v>33945</v>
      </c>
      <c r="O18" s="41">
        <f>MAX(IF($N18&lt;=$R$6,$M18*$Q$6-$U$6/6,((($N18-$R$6)*$S$6)+$V$6-SUM($O$14:$O17))),0)</f>
        <v>214.67999999999995</v>
      </c>
      <c r="P18" s="41">
        <f t="shared" si="9"/>
        <v>215</v>
      </c>
      <c r="Q18" s="41">
        <f t="shared" si="10"/>
        <v>5962.7352000000001</v>
      </c>
    </row>
    <row r="19" spans="1:17" x14ac:dyDescent="0.3">
      <c r="A19" s="179"/>
      <c r="B19" s="40" t="s">
        <v>77</v>
      </c>
      <c r="C19" s="41">
        <f t="shared" si="0"/>
        <v>9000</v>
      </c>
      <c r="D19" s="41">
        <f t="shared" si="11"/>
        <v>54000</v>
      </c>
      <c r="E19" s="41">
        <f t="shared" si="2"/>
        <v>693.58</v>
      </c>
      <c r="F19" s="41">
        <f t="shared" si="3"/>
        <v>284.26</v>
      </c>
      <c r="G19" s="41">
        <f t="shared" si="4"/>
        <v>87.05</v>
      </c>
      <c r="H19" s="41">
        <f t="shared" si="5"/>
        <v>59.34</v>
      </c>
      <c r="I19" s="41">
        <f t="shared" si="6"/>
        <v>87.05</v>
      </c>
      <c r="J19" s="41">
        <f t="shared" si="7"/>
        <v>610.98479999999995</v>
      </c>
      <c r="K19" s="41">
        <v>0</v>
      </c>
      <c r="L19" s="41">
        <f t="shared" si="8"/>
        <v>1000</v>
      </c>
      <c r="M19" s="41">
        <f t="shared" si="1"/>
        <v>6789</v>
      </c>
      <c r="N19" s="41">
        <f t="shared" si="12"/>
        <v>40734</v>
      </c>
      <c r="O19" s="41">
        <f>MAX(IF($N19&lt;=$R$6,$M19*$Q$6-$U$6/6,((($N19-$R$6)*$S$6)+$V$6-SUM($O$14:$O18))),0)</f>
        <v>214.67999999999995</v>
      </c>
      <c r="P19" s="41">
        <f t="shared" si="9"/>
        <v>215</v>
      </c>
      <c r="Q19" s="41">
        <f t="shared" si="10"/>
        <v>5962.7352000000001</v>
      </c>
    </row>
    <row r="20" spans="1:17" x14ac:dyDescent="0.3">
      <c r="A20" s="179"/>
      <c r="B20" s="189" t="s">
        <v>78</v>
      </c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</row>
    <row r="21" spans="1:17" x14ac:dyDescent="0.3">
      <c r="A21" s="179"/>
      <c r="B21" s="42" t="s">
        <v>79</v>
      </c>
      <c r="C21" s="43">
        <f>SUM(C$14:C$19)</f>
        <v>54000</v>
      </c>
      <c r="D21" s="44" t="s">
        <v>80</v>
      </c>
      <c r="E21" s="44">
        <f t="shared" ref="E21:M21" si="13">SUM(E$14:E$19)</f>
        <v>4161.4800000000005</v>
      </c>
      <c r="F21" s="44">
        <f t="shared" si="13"/>
        <v>1705.56</v>
      </c>
      <c r="G21" s="44">
        <f t="shared" si="13"/>
        <v>522.29999999999995</v>
      </c>
      <c r="H21" s="44">
        <f t="shared" si="13"/>
        <v>356.04000000000008</v>
      </c>
      <c r="I21" s="44">
        <f t="shared" si="13"/>
        <v>522.29999999999995</v>
      </c>
      <c r="J21" s="44">
        <f t="shared" si="13"/>
        <v>3665.9088000000002</v>
      </c>
      <c r="K21" s="44">
        <f t="shared" si="13"/>
        <v>0</v>
      </c>
      <c r="L21" s="44">
        <f t="shared" si="13"/>
        <v>6000</v>
      </c>
      <c r="M21" s="44">
        <f t="shared" si="13"/>
        <v>40734</v>
      </c>
      <c r="N21" s="44" t="s">
        <v>80</v>
      </c>
      <c r="O21" s="44">
        <f>SUM(O$14:O$19)</f>
        <v>1288.0799999999995</v>
      </c>
      <c r="P21" s="44">
        <f>SUM(P$14:P$19)</f>
        <v>1290</v>
      </c>
      <c r="Q21" s="45">
        <f>SUM(Q$14:Q$19)</f>
        <v>35776.411200000002</v>
      </c>
    </row>
    <row r="22" spans="1:17" x14ac:dyDescent="0.3">
      <c r="A22" s="179"/>
      <c r="B22" s="46" t="s">
        <v>81</v>
      </c>
      <c r="C22" s="47">
        <f>C$21/12</f>
        <v>4500</v>
      </c>
      <c r="D22" s="47" t="s">
        <v>80</v>
      </c>
      <c r="E22" s="47">
        <f t="shared" ref="E22:P22" si="14">E$21/12</f>
        <v>346.79</v>
      </c>
      <c r="F22" s="47">
        <f t="shared" si="14"/>
        <v>142.13</v>
      </c>
      <c r="G22" s="47">
        <f t="shared" si="14"/>
        <v>43.524999999999999</v>
      </c>
      <c r="H22" s="47">
        <f t="shared" si="14"/>
        <v>29.670000000000005</v>
      </c>
      <c r="I22" s="47">
        <f t="shared" si="14"/>
        <v>43.524999999999999</v>
      </c>
      <c r="J22" s="47">
        <f t="shared" si="14"/>
        <v>305.49240000000003</v>
      </c>
      <c r="K22" s="47">
        <f t="shared" si="14"/>
        <v>0</v>
      </c>
      <c r="L22" s="47">
        <f t="shared" si="14"/>
        <v>500</v>
      </c>
      <c r="M22" s="47">
        <f t="shared" si="14"/>
        <v>3394.5</v>
      </c>
      <c r="N22" s="47" t="s">
        <v>80</v>
      </c>
      <c r="O22" s="47">
        <f t="shared" si="14"/>
        <v>107.33999999999996</v>
      </c>
      <c r="P22" s="47">
        <f t="shared" si="14"/>
        <v>107.5</v>
      </c>
      <c r="Q22" s="47">
        <f>Q$21/6</f>
        <v>5962.7352000000001</v>
      </c>
    </row>
    <row r="23" spans="1:17" x14ac:dyDescent="0.3">
      <c r="A23" s="179"/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8"/>
      <c r="Q23" s="37"/>
    </row>
    <row r="24" spans="1:17" x14ac:dyDescent="0.3">
      <c r="A24" s="179"/>
      <c r="O24" s="48" t="s">
        <v>87</v>
      </c>
      <c r="Q24" s="27">
        <f>IF(M21&gt;1000000,M21*T6,0)</f>
        <v>0</v>
      </c>
    </row>
    <row r="25" spans="1:17" x14ac:dyDescent="0.3">
      <c r="A25" s="179"/>
    </row>
    <row r="26" spans="1:17" x14ac:dyDescent="0.3">
      <c r="A26" s="179"/>
      <c r="L26" s="191"/>
      <c r="M26" s="191"/>
      <c r="N26" s="39"/>
    </row>
    <row r="27" spans="1:17" x14ac:dyDescent="0.3">
      <c r="A27" s="179"/>
      <c r="L27" s="191"/>
      <c r="M27" s="191"/>
      <c r="N27" s="50"/>
    </row>
    <row r="28" spans="1:17" x14ac:dyDescent="0.3">
      <c r="A28" s="179"/>
    </row>
  </sheetData>
  <sheetProtection algorithmName="SHA-512" hashValue="uSPcQdodiXViqCaNjDaJNP64jfhuAvwlCAaGQxNIlWOvgXX7w2gtpnkegqDUW8wnq7G/wHW4jx/5Fd8jwrXwwg==" saltValue="dbjmX0hKUEC/nQrukRUxSQ==" spinCount="100000" sheet="1" objects="1" scenarios="1"/>
  <mergeCells count="39">
    <mergeCell ref="V4:V5"/>
    <mergeCell ref="G3:V3"/>
    <mergeCell ref="U4:U5"/>
    <mergeCell ref="A9:A28"/>
    <mergeCell ref="B9:Q9"/>
    <mergeCell ref="B10:B13"/>
    <mergeCell ref="C10:C13"/>
    <mergeCell ref="D10:D13"/>
    <mergeCell ref="E10:I11"/>
    <mergeCell ref="J10:K11"/>
    <mergeCell ref="P10:P13"/>
    <mergeCell ref="Q10:Q13"/>
    <mergeCell ref="K12:K13"/>
    <mergeCell ref="B20:Q20"/>
    <mergeCell ref="L27:M27"/>
    <mergeCell ref="L26:M26"/>
    <mergeCell ref="E12:E13"/>
    <mergeCell ref="F12:F13"/>
    <mergeCell ref="G12:G13"/>
    <mergeCell ref="S4:S5"/>
    <mergeCell ref="B5:D6"/>
    <mergeCell ref="E5:F6"/>
    <mergeCell ref="B3:D4"/>
    <mergeCell ref="E3:F4"/>
    <mergeCell ref="G4:G5"/>
    <mergeCell ref="H4:I5"/>
    <mergeCell ref="J4:N4"/>
    <mergeCell ref="O4:O5"/>
    <mergeCell ref="P4:P5"/>
    <mergeCell ref="Q4:Q5"/>
    <mergeCell ref="R4:R5"/>
    <mergeCell ref="T4:T5"/>
    <mergeCell ref="N10:N13"/>
    <mergeCell ref="O10:O13"/>
    <mergeCell ref="H12:H13"/>
    <mergeCell ref="I12:I13"/>
    <mergeCell ref="J12:J13"/>
    <mergeCell ref="L10:L13"/>
    <mergeCell ref="M10:M13"/>
  </mergeCell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48448-B7FF-40DD-A397-B31ECD4C1337}">
  <sheetPr>
    <pageSetUpPr fitToPage="1"/>
  </sheetPr>
  <dimension ref="A3:V29"/>
  <sheetViews>
    <sheetView topLeftCell="H4" workbookViewId="0">
      <selection activeCell="C59" sqref="C59"/>
    </sheetView>
  </sheetViews>
  <sheetFormatPr defaultColWidth="9.109375" defaultRowHeight="14.4" x14ac:dyDescent="0.3"/>
  <cols>
    <col min="1" max="1" width="9.109375" style="27"/>
    <col min="2" max="2" width="14.6640625" style="27" customWidth="1"/>
    <col min="3" max="3" width="15" style="27" bestFit="1" customWidth="1"/>
    <col min="4" max="4" width="16" style="27" customWidth="1"/>
    <col min="5" max="5" width="15.88671875" style="27" customWidth="1"/>
    <col min="6" max="6" width="13.44140625" style="27" bestFit="1" customWidth="1"/>
    <col min="7" max="7" width="12.44140625" style="27" bestFit="1" customWidth="1"/>
    <col min="8" max="8" width="12.44140625" style="27" customWidth="1"/>
    <col min="9" max="9" width="12.44140625" style="27" bestFit="1" customWidth="1"/>
    <col min="10" max="10" width="13.44140625" style="27" bestFit="1" customWidth="1"/>
    <col min="11" max="11" width="13.44140625" style="27" customWidth="1"/>
    <col min="12" max="12" width="12.44140625" style="27" customWidth="1"/>
    <col min="13" max="13" width="15.33203125" style="27" bestFit="1" customWidth="1"/>
    <col min="14" max="14" width="19.109375" style="27" customWidth="1"/>
    <col min="15" max="16" width="13.88671875" style="27" bestFit="1" customWidth="1"/>
    <col min="17" max="17" width="15.33203125" style="27" bestFit="1" customWidth="1"/>
    <col min="18" max="18" width="12.6640625" style="27" bestFit="1" customWidth="1"/>
    <col min="19" max="19" width="16.6640625" style="27" customWidth="1"/>
    <col min="20" max="20" width="9.109375" style="27"/>
    <col min="21" max="21" width="17.6640625" style="27" customWidth="1"/>
    <col min="22" max="22" width="12" style="27" customWidth="1"/>
    <col min="23" max="16384" width="9.109375" style="27"/>
  </cols>
  <sheetData>
    <row r="3" spans="1:22" ht="15" customHeight="1" x14ac:dyDescent="0.3">
      <c r="B3" s="161" t="s">
        <v>42</v>
      </c>
      <c r="C3" s="162"/>
      <c r="D3" s="163"/>
      <c r="E3" s="161" t="s">
        <v>43</v>
      </c>
      <c r="F3" s="163"/>
      <c r="G3" s="177" t="s">
        <v>44</v>
      </c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</row>
    <row r="4" spans="1:22" ht="15" customHeight="1" x14ac:dyDescent="0.3">
      <c r="B4" s="164"/>
      <c r="C4" s="165"/>
      <c r="D4" s="166"/>
      <c r="E4" s="164"/>
      <c r="F4" s="166"/>
      <c r="G4" s="167" t="s">
        <v>45</v>
      </c>
      <c r="H4" s="169" t="s">
        <v>46</v>
      </c>
      <c r="I4" s="170"/>
      <c r="J4" s="173" t="s">
        <v>47</v>
      </c>
      <c r="K4" s="174"/>
      <c r="L4" s="174"/>
      <c r="M4" s="174"/>
      <c r="N4" s="175"/>
      <c r="O4" s="150" t="s">
        <v>118</v>
      </c>
      <c r="P4" s="167" t="s">
        <v>48</v>
      </c>
      <c r="Q4" s="167" t="s">
        <v>49</v>
      </c>
      <c r="R4" s="150" t="s">
        <v>50</v>
      </c>
      <c r="S4" s="150" t="s">
        <v>51</v>
      </c>
      <c r="T4" s="176" t="s">
        <v>86</v>
      </c>
      <c r="U4" s="176" t="s">
        <v>99</v>
      </c>
      <c r="V4" s="176" t="s">
        <v>123</v>
      </c>
    </row>
    <row r="5" spans="1:22" ht="15" customHeight="1" x14ac:dyDescent="0.3">
      <c r="B5" s="155">
        <f>SUM(Kalkulator!H10:J15)</f>
        <v>9000</v>
      </c>
      <c r="C5" s="156"/>
      <c r="D5" s="157"/>
      <c r="E5" s="155">
        <f>Kalkulator!H20</f>
        <v>1000</v>
      </c>
      <c r="F5" s="157"/>
      <c r="G5" s="168"/>
      <c r="H5" s="171"/>
      <c r="I5" s="172"/>
      <c r="J5" s="28" t="s">
        <v>52</v>
      </c>
      <c r="K5" s="28" t="s">
        <v>53</v>
      </c>
      <c r="L5" s="28" t="s">
        <v>54</v>
      </c>
      <c r="M5" s="28" t="s">
        <v>55</v>
      </c>
      <c r="N5" s="28" t="s">
        <v>56</v>
      </c>
      <c r="O5" s="151"/>
      <c r="P5" s="168"/>
      <c r="Q5" s="168"/>
      <c r="R5" s="151"/>
      <c r="S5" s="151"/>
      <c r="T5" s="176"/>
      <c r="U5" s="176"/>
      <c r="V5" s="176"/>
    </row>
    <row r="6" spans="1:22" ht="15" customHeight="1" x14ac:dyDescent="0.3">
      <c r="B6" s="158"/>
      <c r="C6" s="159"/>
      <c r="D6" s="160"/>
      <c r="E6" s="158"/>
      <c r="F6" s="160"/>
      <c r="G6" s="29" t="s">
        <v>57</v>
      </c>
      <c r="H6" s="29"/>
      <c r="I6" s="30">
        <f>IF(Kalkulator!H26="Normalny ZUS",3553.2,IF(Kalkulator!H26="Mały ZUS",903,0))</f>
        <v>3553.2</v>
      </c>
      <c r="J6" s="31">
        <v>0.19520000000000001</v>
      </c>
      <c r="K6" s="31">
        <v>0.08</v>
      </c>
      <c r="L6" s="31">
        <f>IF(Kalkulator!H28="Tak",2.45%,0%)</f>
        <v>2.4500000000000001E-2</v>
      </c>
      <c r="M6" s="31">
        <v>1.67E-2</v>
      </c>
      <c r="N6" s="31">
        <v>2.4500000000000001E-2</v>
      </c>
      <c r="O6" s="32">
        <v>3010</v>
      </c>
      <c r="P6" s="33">
        <v>0.09</v>
      </c>
      <c r="Q6" s="33">
        <v>0.12</v>
      </c>
      <c r="R6" s="29">
        <v>120000</v>
      </c>
      <c r="S6" s="33">
        <v>0.32</v>
      </c>
      <c r="T6" s="58">
        <f>IF($M$27&gt;1000000,($M$27-1000000)*0.04,0)</f>
        <v>0</v>
      </c>
      <c r="U6" s="58">
        <f>MAX(30000-Kalkulator!H30,0)*Q6</f>
        <v>3600</v>
      </c>
      <c r="V6" s="58">
        <f>(R6-U6/Q6)*Q6</f>
        <v>10800</v>
      </c>
    </row>
    <row r="7" spans="1:22" x14ac:dyDescent="0.3">
      <c r="E7" s="34"/>
      <c r="F7" s="34"/>
      <c r="G7" s="34"/>
      <c r="N7" s="35"/>
      <c r="P7" s="35"/>
    </row>
    <row r="8" spans="1:22" x14ac:dyDescent="0.3">
      <c r="B8" s="36"/>
      <c r="C8" s="37"/>
      <c r="D8" s="37"/>
      <c r="E8" s="37"/>
      <c r="F8" s="37"/>
      <c r="G8" s="37"/>
      <c r="N8" s="37"/>
      <c r="O8" s="37"/>
      <c r="P8" s="38"/>
      <c r="Q8" s="37"/>
      <c r="S8" s="39"/>
    </row>
    <row r="9" spans="1:22" ht="15" customHeight="1" x14ac:dyDescent="0.3">
      <c r="A9" s="179" t="s">
        <v>58</v>
      </c>
      <c r="B9" s="180" t="s">
        <v>59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2"/>
      <c r="S9" s="59" t="s">
        <v>108</v>
      </c>
    </row>
    <row r="10" spans="1:22" ht="15" customHeight="1" x14ac:dyDescent="0.3">
      <c r="A10" s="179"/>
      <c r="B10" s="152" t="s">
        <v>60</v>
      </c>
      <c r="C10" s="152" t="s">
        <v>61</v>
      </c>
      <c r="D10" s="152" t="s">
        <v>62</v>
      </c>
      <c r="E10" s="183" t="s">
        <v>47</v>
      </c>
      <c r="F10" s="184"/>
      <c r="G10" s="184"/>
      <c r="H10" s="184"/>
      <c r="I10" s="185"/>
      <c r="J10" s="183" t="s">
        <v>63</v>
      </c>
      <c r="K10" s="185"/>
      <c r="L10" s="152" t="s">
        <v>64</v>
      </c>
      <c r="M10" s="152" t="s">
        <v>65</v>
      </c>
      <c r="N10" s="152" t="s">
        <v>66</v>
      </c>
      <c r="O10" s="152" t="s">
        <v>67</v>
      </c>
      <c r="P10" s="152" t="s">
        <v>68</v>
      </c>
      <c r="Q10" s="152" t="s">
        <v>69</v>
      </c>
      <c r="S10" s="60" t="s">
        <v>109</v>
      </c>
    </row>
    <row r="11" spans="1:22" x14ac:dyDescent="0.3">
      <c r="A11" s="179"/>
      <c r="B11" s="153"/>
      <c r="C11" s="153"/>
      <c r="D11" s="153"/>
      <c r="E11" s="186"/>
      <c r="F11" s="187"/>
      <c r="G11" s="187"/>
      <c r="H11" s="187"/>
      <c r="I11" s="188"/>
      <c r="J11" s="186"/>
      <c r="K11" s="188"/>
      <c r="L11" s="153"/>
      <c r="M11" s="153"/>
      <c r="N11" s="153"/>
      <c r="O11" s="153"/>
      <c r="P11" s="153"/>
      <c r="Q11" s="153"/>
    </row>
    <row r="12" spans="1:22" ht="15" customHeight="1" x14ac:dyDescent="0.3">
      <c r="A12" s="179"/>
      <c r="B12" s="153"/>
      <c r="C12" s="153"/>
      <c r="D12" s="153"/>
      <c r="E12" s="152" t="s">
        <v>52</v>
      </c>
      <c r="F12" s="152" t="s">
        <v>53</v>
      </c>
      <c r="G12" s="152" t="s">
        <v>54</v>
      </c>
      <c r="H12" s="152" t="s">
        <v>55</v>
      </c>
      <c r="I12" s="152" t="s">
        <v>56</v>
      </c>
      <c r="J12" s="152" t="s">
        <v>70</v>
      </c>
      <c r="K12" s="152" t="s">
        <v>71</v>
      </c>
      <c r="L12" s="153"/>
      <c r="M12" s="153"/>
      <c r="N12" s="153"/>
      <c r="O12" s="153"/>
      <c r="P12" s="153"/>
      <c r="Q12" s="153"/>
      <c r="S12" s="61" t="s">
        <v>110</v>
      </c>
    </row>
    <row r="13" spans="1:22" x14ac:dyDescent="0.3">
      <c r="A13" s="179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S13" s="60">
        <v>0</v>
      </c>
    </row>
    <row r="14" spans="1:22" x14ac:dyDescent="0.3">
      <c r="A14" s="179"/>
      <c r="B14" s="40" t="s">
        <v>111</v>
      </c>
      <c r="C14" s="41">
        <f t="shared" ref="C14:C25" si="0">$B$5</f>
        <v>9000</v>
      </c>
      <c r="D14" s="41">
        <f>C14</f>
        <v>9000</v>
      </c>
      <c r="E14" s="41">
        <f>ROUND($I$6*$J$6,2)</f>
        <v>693.58</v>
      </c>
      <c r="F14" s="41">
        <f>ROUND($I$6*$K$6,2)</f>
        <v>284.26</v>
      </c>
      <c r="G14" s="41">
        <f>ROUND($I$6*$L$6,2)</f>
        <v>87.05</v>
      </c>
      <c r="H14" s="41">
        <f>ROUND($I$6*$M$6,2)</f>
        <v>59.34</v>
      </c>
      <c r="I14" s="41">
        <f>ROUND($I$6*$N$6,2)</f>
        <v>87.05</v>
      </c>
      <c r="J14" s="41">
        <f>MAX(C14-SUM(E14:I14,L14),$O$6)*$P$6</f>
        <v>610.98479999999995</v>
      </c>
      <c r="K14" s="41">
        <v>0</v>
      </c>
      <c r="L14" s="41">
        <f>$E$5</f>
        <v>1000</v>
      </c>
      <c r="M14" s="41">
        <f t="shared" ref="M14:M25" si="1">ROUND(($C14-SUM($E14:$I14,$L14,$S$16)),0)</f>
        <v>6789</v>
      </c>
      <c r="N14" s="41">
        <f>M14</f>
        <v>6789</v>
      </c>
      <c r="O14" s="41">
        <f>MAX(IF($N14&lt;=$R$6,$M14*$Q$6-$U$6/12,((($N14-$R$6)*$S$6)+$V$6)),0)</f>
        <v>514.67999999999995</v>
      </c>
      <c r="P14" s="41">
        <f>ROUND($O14-$K14,0)</f>
        <v>515</v>
      </c>
      <c r="Q14" s="41">
        <f>$C14-SUM($E14:$J14)-$L14-$P14</f>
        <v>5662.7352000000001</v>
      </c>
    </row>
    <row r="15" spans="1:22" x14ac:dyDescent="0.3">
      <c r="A15" s="179"/>
      <c r="B15" s="40" t="s">
        <v>112</v>
      </c>
      <c r="C15" s="41">
        <f t="shared" si="0"/>
        <v>9000</v>
      </c>
      <c r="D15" s="41">
        <f>C15+D14</f>
        <v>18000</v>
      </c>
      <c r="E15" s="41">
        <f t="shared" ref="E15:E25" si="2">ROUND($I$6*$J$6,2)</f>
        <v>693.58</v>
      </c>
      <c r="F15" s="41">
        <f t="shared" ref="F15:F25" si="3">ROUND($I$6*$K$6,2)</f>
        <v>284.26</v>
      </c>
      <c r="G15" s="41">
        <f t="shared" ref="G15:G25" si="4">ROUND($I$6*$L$6,2)</f>
        <v>87.05</v>
      </c>
      <c r="H15" s="41">
        <f t="shared" ref="H15:H25" si="5">ROUND($I$6*$M$6,2)</f>
        <v>59.34</v>
      </c>
      <c r="I15" s="41">
        <f t="shared" ref="I15:I25" si="6">ROUND($I$6*$N$6,2)</f>
        <v>87.05</v>
      </c>
      <c r="J15" s="41">
        <f t="shared" ref="J15:J25" si="7">MAX(C15-SUM(E15:I15,L15),$O$6)*$P$6</f>
        <v>610.98479999999995</v>
      </c>
      <c r="K15" s="41">
        <v>0</v>
      </c>
      <c r="L15" s="41">
        <f t="shared" ref="L15:L25" si="8">$E$5</f>
        <v>1000</v>
      </c>
      <c r="M15" s="41">
        <f t="shared" si="1"/>
        <v>6789</v>
      </c>
      <c r="N15" s="41">
        <f>$N14+$M15</f>
        <v>13578</v>
      </c>
      <c r="O15" s="41">
        <f>MAX(IF($N15&lt;=$R$6,$M15*$Q$6-$U$6/12,((($N15-$R$6)*$S$6)+$V$6-SUM($O$14))),0)</f>
        <v>514.67999999999995</v>
      </c>
      <c r="P15" s="41">
        <f t="shared" ref="P15:P25" si="9">ROUND($O15-$K15,0)</f>
        <v>515</v>
      </c>
      <c r="Q15" s="41">
        <f t="shared" ref="Q15:Q25" si="10">$C15-SUM($E15:$J15)-$L15-$P15</f>
        <v>5662.7352000000001</v>
      </c>
      <c r="S15" s="62" t="s">
        <v>113</v>
      </c>
    </row>
    <row r="16" spans="1:22" x14ac:dyDescent="0.3">
      <c r="A16" s="179"/>
      <c r="B16" s="40" t="s">
        <v>114</v>
      </c>
      <c r="C16" s="41">
        <f t="shared" si="0"/>
        <v>9000</v>
      </c>
      <c r="D16" s="41">
        <f t="shared" ref="D16:D25" si="11">C16+D15</f>
        <v>27000</v>
      </c>
      <c r="E16" s="41">
        <f t="shared" si="2"/>
        <v>693.58</v>
      </c>
      <c r="F16" s="41">
        <f t="shared" si="3"/>
        <v>284.26</v>
      </c>
      <c r="G16" s="41">
        <f t="shared" si="4"/>
        <v>87.05</v>
      </c>
      <c r="H16" s="41">
        <f t="shared" si="5"/>
        <v>59.34</v>
      </c>
      <c r="I16" s="41">
        <f t="shared" si="6"/>
        <v>87.05</v>
      </c>
      <c r="J16" s="41">
        <f t="shared" si="7"/>
        <v>610.98479999999995</v>
      </c>
      <c r="K16" s="41">
        <v>0</v>
      </c>
      <c r="L16" s="41">
        <f t="shared" si="8"/>
        <v>1000</v>
      </c>
      <c r="M16" s="41">
        <f t="shared" si="1"/>
        <v>6789</v>
      </c>
      <c r="N16" s="41">
        <f t="shared" ref="N16:N25" si="12">$N15+$M16</f>
        <v>20367</v>
      </c>
      <c r="O16" s="41">
        <f>MAX(IF($N16&lt;=$R$6,$M16*$Q$6-$U$6/12,((($N16-$R$6)*$S$6)+$V$6-SUM($O$14:$O15))),0)</f>
        <v>514.67999999999995</v>
      </c>
      <c r="P16" s="41">
        <f t="shared" si="9"/>
        <v>515</v>
      </c>
      <c r="Q16" s="41">
        <f t="shared" si="10"/>
        <v>5662.7352000000001</v>
      </c>
      <c r="S16" s="60">
        <f>S13/12</f>
        <v>0</v>
      </c>
    </row>
    <row r="17" spans="1:18" x14ac:dyDescent="0.3">
      <c r="A17" s="179"/>
      <c r="B17" s="40" t="s">
        <v>115</v>
      </c>
      <c r="C17" s="41">
        <f t="shared" si="0"/>
        <v>9000</v>
      </c>
      <c r="D17" s="41">
        <f t="shared" si="11"/>
        <v>36000</v>
      </c>
      <c r="E17" s="41">
        <f t="shared" si="2"/>
        <v>693.58</v>
      </c>
      <c r="F17" s="41">
        <f t="shared" si="3"/>
        <v>284.26</v>
      </c>
      <c r="G17" s="41">
        <f t="shared" si="4"/>
        <v>87.05</v>
      </c>
      <c r="H17" s="41">
        <f t="shared" si="5"/>
        <v>59.34</v>
      </c>
      <c r="I17" s="41">
        <f t="shared" si="6"/>
        <v>87.05</v>
      </c>
      <c r="J17" s="41">
        <f t="shared" si="7"/>
        <v>610.98479999999995</v>
      </c>
      <c r="K17" s="41">
        <v>0</v>
      </c>
      <c r="L17" s="41">
        <f t="shared" si="8"/>
        <v>1000</v>
      </c>
      <c r="M17" s="41">
        <f t="shared" si="1"/>
        <v>6789</v>
      </c>
      <c r="N17" s="41">
        <f t="shared" si="12"/>
        <v>27156</v>
      </c>
      <c r="O17" s="41">
        <f>MAX(IF($N17&lt;=$R$6,$M17*$Q$6-$U$6/12,((($N17-$R$6)*$S$6)+$V$6-SUM($O$14:$O16))),0)</f>
        <v>514.67999999999995</v>
      </c>
      <c r="P17" s="41">
        <f t="shared" si="9"/>
        <v>515</v>
      </c>
      <c r="Q17" s="41">
        <f t="shared" si="10"/>
        <v>5662.7352000000001</v>
      </c>
    </row>
    <row r="18" spans="1:18" x14ac:dyDescent="0.3">
      <c r="A18" s="179"/>
      <c r="B18" s="40" t="s">
        <v>116</v>
      </c>
      <c r="C18" s="41">
        <f t="shared" si="0"/>
        <v>9000</v>
      </c>
      <c r="D18" s="41">
        <f t="shared" si="11"/>
        <v>45000</v>
      </c>
      <c r="E18" s="41">
        <f t="shared" si="2"/>
        <v>693.58</v>
      </c>
      <c r="F18" s="41">
        <f t="shared" si="3"/>
        <v>284.26</v>
      </c>
      <c r="G18" s="41">
        <f t="shared" si="4"/>
        <v>87.05</v>
      </c>
      <c r="H18" s="41">
        <f t="shared" si="5"/>
        <v>59.34</v>
      </c>
      <c r="I18" s="41">
        <f t="shared" si="6"/>
        <v>87.05</v>
      </c>
      <c r="J18" s="41">
        <f t="shared" si="7"/>
        <v>610.98479999999995</v>
      </c>
      <c r="K18" s="41">
        <v>0</v>
      </c>
      <c r="L18" s="41">
        <f t="shared" si="8"/>
        <v>1000</v>
      </c>
      <c r="M18" s="41">
        <f t="shared" si="1"/>
        <v>6789</v>
      </c>
      <c r="N18" s="41">
        <f t="shared" si="12"/>
        <v>33945</v>
      </c>
      <c r="O18" s="41">
        <f>MAX(IF($N18&lt;=$R$6,$M18*$Q$6-$U$6/12,((($N18-$R$6)*$S$6)+$V$6-SUM($O$14:$O17))),0)</f>
        <v>514.67999999999995</v>
      </c>
      <c r="P18" s="41">
        <f t="shared" si="9"/>
        <v>515</v>
      </c>
      <c r="Q18" s="41">
        <f t="shared" si="10"/>
        <v>5662.7352000000001</v>
      </c>
    </row>
    <row r="19" spans="1:18" x14ac:dyDescent="0.3">
      <c r="A19" s="179"/>
      <c r="B19" s="40" t="s">
        <v>117</v>
      </c>
      <c r="C19" s="41">
        <f t="shared" si="0"/>
        <v>9000</v>
      </c>
      <c r="D19" s="41">
        <f t="shared" si="11"/>
        <v>54000</v>
      </c>
      <c r="E19" s="41">
        <f t="shared" si="2"/>
        <v>693.58</v>
      </c>
      <c r="F19" s="41">
        <f t="shared" si="3"/>
        <v>284.26</v>
      </c>
      <c r="G19" s="41">
        <f t="shared" si="4"/>
        <v>87.05</v>
      </c>
      <c r="H19" s="41">
        <f t="shared" si="5"/>
        <v>59.34</v>
      </c>
      <c r="I19" s="41">
        <f t="shared" si="6"/>
        <v>87.05</v>
      </c>
      <c r="J19" s="41">
        <f t="shared" si="7"/>
        <v>610.98479999999995</v>
      </c>
      <c r="K19" s="41">
        <v>0</v>
      </c>
      <c r="L19" s="41">
        <f t="shared" si="8"/>
        <v>1000</v>
      </c>
      <c r="M19" s="41">
        <f t="shared" si="1"/>
        <v>6789</v>
      </c>
      <c r="N19" s="41">
        <f t="shared" si="12"/>
        <v>40734</v>
      </c>
      <c r="O19" s="41">
        <f>MAX(IF($N19&lt;=$R$6,$M19*$Q$6-$U$6/12,((($N19-$R$6)*$S$6)+$V$6-SUM($O$14:$O18))),0)</f>
        <v>514.67999999999995</v>
      </c>
      <c r="P19" s="41">
        <f t="shared" si="9"/>
        <v>515</v>
      </c>
      <c r="Q19" s="41">
        <f t="shared" si="10"/>
        <v>5662.7352000000001</v>
      </c>
    </row>
    <row r="20" spans="1:18" x14ac:dyDescent="0.3">
      <c r="A20" s="179"/>
      <c r="B20" s="40" t="s">
        <v>72</v>
      </c>
      <c r="C20" s="41">
        <f t="shared" si="0"/>
        <v>9000</v>
      </c>
      <c r="D20" s="41">
        <f t="shared" si="11"/>
        <v>63000</v>
      </c>
      <c r="E20" s="41">
        <f t="shared" si="2"/>
        <v>693.58</v>
      </c>
      <c r="F20" s="41">
        <f t="shared" si="3"/>
        <v>284.26</v>
      </c>
      <c r="G20" s="41">
        <f t="shared" si="4"/>
        <v>87.05</v>
      </c>
      <c r="H20" s="41">
        <f t="shared" si="5"/>
        <v>59.34</v>
      </c>
      <c r="I20" s="41">
        <f t="shared" si="6"/>
        <v>87.05</v>
      </c>
      <c r="J20" s="41">
        <f t="shared" si="7"/>
        <v>610.98479999999995</v>
      </c>
      <c r="K20" s="41">
        <v>0</v>
      </c>
      <c r="L20" s="41">
        <f t="shared" si="8"/>
        <v>1000</v>
      </c>
      <c r="M20" s="41">
        <f t="shared" si="1"/>
        <v>6789</v>
      </c>
      <c r="N20" s="41">
        <f t="shared" si="12"/>
        <v>47523</v>
      </c>
      <c r="O20" s="41">
        <f>MAX(IF($N20&lt;=$R$6,$M20*$Q$6-$U$6/12,((($N20-$R$6)*$S$6)+$V$6-SUM($O$14:$O19))),0)</f>
        <v>514.67999999999995</v>
      </c>
      <c r="P20" s="41">
        <f t="shared" si="9"/>
        <v>515</v>
      </c>
      <c r="Q20" s="41">
        <f t="shared" si="10"/>
        <v>5662.7352000000001</v>
      </c>
    </row>
    <row r="21" spans="1:18" x14ac:dyDescent="0.3">
      <c r="A21" s="179"/>
      <c r="B21" s="40" t="s">
        <v>73</v>
      </c>
      <c r="C21" s="41">
        <f t="shared" si="0"/>
        <v>9000</v>
      </c>
      <c r="D21" s="41">
        <f t="shared" si="11"/>
        <v>72000</v>
      </c>
      <c r="E21" s="41">
        <f t="shared" si="2"/>
        <v>693.58</v>
      </c>
      <c r="F21" s="41">
        <f t="shared" si="3"/>
        <v>284.26</v>
      </c>
      <c r="G21" s="41">
        <f t="shared" si="4"/>
        <v>87.05</v>
      </c>
      <c r="H21" s="41">
        <f t="shared" si="5"/>
        <v>59.34</v>
      </c>
      <c r="I21" s="41">
        <f t="shared" si="6"/>
        <v>87.05</v>
      </c>
      <c r="J21" s="41">
        <f t="shared" si="7"/>
        <v>610.98479999999995</v>
      </c>
      <c r="K21" s="41">
        <v>0</v>
      </c>
      <c r="L21" s="41">
        <f t="shared" si="8"/>
        <v>1000</v>
      </c>
      <c r="M21" s="41">
        <f t="shared" si="1"/>
        <v>6789</v>
      </c>
      <c r="N21" s="41">
        <f t="shared" si="12"/>
        <v>54312</v>
      </c>
      <c r="O21" s="41">
        <f>MAX(IF($N21&lt;=$R$6,$M21*$Q$6-$U$6/12,((($N21-$R$6)*$S$6)+$V$6-SUM($O$14:$O20))),0)</f>
        <v>514.67999999999995</v>
      </c>
      <c r="P21" s="41">
        <f t="shared" si="9"/>
        <v>515</v>
      </c>
      <c r="Q21" s="41">
        <f t="shared" si="10"/>
        <v>5662.7352000000001</v>
      </c>
    </row>
    <row r="22" spans="1:18" x14ac:dyDescent="0.3">
      <c r="A22" s="179"/>
      <c r="B22" s="40" t="s">
        <v>74</v>
      </c>
      <c r="C22" s="41">
        <f t="shared" si="0"/>
        <v>9000</v>
      </c>
      <c r="D22" s="41">
        <f t="shared" si="11"/>
        <v>81000</v>
      </c>
      <c r="E22" s="41">
        <f t="shared" si="2"/>
        <v>693.58</v>
      </c>
      <c r="F22" s="41">
        <f t="shared" si="3"/>
        <v>284.26</v>
      </c>
      <c r="G22" s="41">
        <f t="shared" si="4"/>
        <v>87.05</v>
      </c>
      <c r="H22" s="41">
        <f t="shared" si="5"/>
        <v>59.34</v>
      </c>
      <c r="I22" s="41">
        <f t="shared" si="6"/>
        <v>87.05</v>
      </c>
      <c r="J22" s="41">
        <f t="shared" si="7"/>
        <v>610.98479999999995</v>
      </c>
      <c r="K22" s="41">
        <v>0</v>
      </c>
      <c r="L22" s="41">
        <f t="shared" si="8"/>
        <v>1000</v>
      </c>
      <c r="M22" s="41">
        <f t="shared" si="1"/>
        <v>6789</v>
      </c>
      <c r="N22" s="41">
        <f t="shared" si="12"/>
        <v>61101</v>
      </c>
      <c r="O22" s="41">
        <f>MAX(IF($N22&lt;=$R$6,$M22*$Q$6-$U$6/12,((($N22-$R$6)*$S$6)+$V$6-SUM($O$14:$O21))),0)</f>
        <v>514.67999999999995</v>
      </c>
      <c r="P22" s="41">
        <f t="shared" si="9"/>
        <v>515</v>
      </c>
      <c r="Q22" s="41">
        <f t="shared" si="10"/>
        <v>5662.7352000000001</v>
      </c>
    </row>
    <row r="23" spans="1:18" x14ac:dyDescent="0.3">
      <c r="A23" s="179"/>
      <c r="B23" s="40" t="s">
        <v>75</v>
      </c>
      <c r="C23" s="41">
        <f t="shared" si="0"/>
        <v>9000</v>
      </c>
      <c r="D23" s="41">
        <f t="shared" si="11"/>
        <v>90000</v>
      </c>
      <c r="E23" s="41">
        <f t="shared" si="2"/>
        <v>693.58</v>
      </c>
      <c r="F23" s="41">
        <f t="shared" si="3"/>
        <v>284.26</v>
      </c>
      <c r="G23" s="41">
        <f t="shared" si="4"/>
        <v>87.05</v>
      </c>
      <c r="H23" s="41">
        <f t="shared" si="5"/>
        <v>59.34</v>
      </c>
      <c r="I23" s="41">
        <f t="shared" si="6"/>
        <v>87.05</v>
      </c>
      <c r="J23" s="41">
        <f t="shared" si="7"/>
        <v>610.98479999999995</v>
      </c>
      <c r="K23" s="41">
        <v>0</v>
      </c>
      <c r="L23" s="41">
        <f t="shared" si="8"/>
        <v>1000</v>
      </c>
      <c r="M23" s="41">
        <f t="shared" si="1"/>
        <v>6789</v>
      </c>
      <c r="N23" s="41">
        <f t="shared" si="12"/>
        <v>67890</v>
      </c>
      <c r="O23" s="41">
        <f>MAX(IF($N23&lt;=$R$6,$M23*$Q$6-$U$6/12,((($N23-$R$6)*$S$6)+$V$6-SUM($O$14:$O22))),0)</f>
        <v>514.67999999999995</v>
      </c>
      <c r="P23" s="41">
        <f t="shared" si="9"/>
        <v>515</v>
      </c>
      <c r="Q23" s="41">
        <f t="shared" si="10"/>
        <v>5662.7352000000001</v>
      </c>
    </row>
    <row r="24" spans="1:18" x14ac:dyDescent="0.3">
      <c r="A24" s="179"/>
      <c r="B24" s="40" t="s">
        <v>76</v>
      </c>
      <c r="C24" s="41">
        <f t="shared" si="0"/>
        <v>9000</v>
      </c>
      <c r="D24" s="41">
        <f t="shared" si="11"/>
        <v>99000</v>
      </c>
      <c r="E24" s="41">
        <f t="shared" si="2"/>
        <v>693.58</v>
      </c>
      <c r="F24" s="41">
        <f t="shared" si="3"/>
        <v>284.26</v>
      </c>
      <c r="G24" s="41">
        <f t="shared" si="4"/>
        <v>87.05</v>
      </c>
      <c r="H24" s="41">
        <f t="shared" si="5"/>
        <v>59.34</v>
      </c>
      <c r="I24" s="41">
        <f t="shared" si="6"/>
        <v>87.05</v>
      </c>
      <c r="J24" s="41">
        <f t="shared" si="7"/>
        <v>610.98479999999995</v>
      </c>
      <c r="K24" s="41">
        <v>0</v>
      </c>
      <c r="L24" s="41">
        <f t="shared" si="8"/>
        <v>1000</v>
      </c>
      <c r="M24" s="41">
        <f t="shared" si="1"/>
        <v>6789</v>
      </c>
      <c r="N24" s="41">
        <f t="shared" si="12"/>
        <v>74679</v>
      </c>
      <c r="O24" s="41">
        <f>MAX(IF($N24&lt;=$R$6,$M24*$Q$6-$U$6/12,((($N24-$R$6)*$S$6)+$V$6-SUM($O$14:$O23))),0)</f>
        <v>514.67999999999995</v>
      </c>
      <c r="P24" s="41">
        <f t="shared" si="9"/>
        <v>515</v>
      </c>
      <c r="Q24" s="41">
        <f t="shared" si="10"/>
        <v>5662.7352000000001</v>
      </c>
    </row>
    <row r="25" spans="1:18" x14ac:dyDescent="0.3">
      <c r="A25" s="179"/>
      <c r="B25" s="40" t="s">
        <v>77</v>
      </c>
      <c r="C25" s="41">
        <f t="shared" si="0"/>
        <v>9000</v>
      </c>
      <c r="D25" s="41">
        <f t="shared" si="11"/>
        <v>108000</v>
      </c>
      <c r="E25" s="41">
        <f t="shared" si="2"/>
        <v>693.58</v>
      </c>
      <c r="F25" s="41">
        <f t="shared" si="3"/>
        <v>284.26</v>
      </c>
      <c r="G25" s="41">
        <f t="shared" si="4"/>
        <v>87.05</v>
      </c>
      <c r="H25" s="41">
        <f t="shared" si="5"/>
        <v>59.34</v>
      </c>
      <c r="I25" s="41">
        <f t="shared" si="6"/>
        <v>87.05</v>
      </c>
      <c r="J25" s="41">
        <f t="shared" si="7"/>
        <v>610.98479999999995</v>
      </c>
      <c r="K25" s="41">
        <v>0</v>
      </c>
      <c r="L25" s="41">
        <f t="shared" si="8"/>
        <v>1000</v>
      </c>
      <c r="M25" s="41">
        <f t="shared" si="1"/>
        <v>6789</v>
      </c>
      <c r="N25" s="41">
        <f t="shared" si="12"/>
        <v>81468</v>
      </c>
      <c r="O25" s="41">
        <f>MAX(IF($N25&lt;=$R$6,$M25*$Q$6-$U$6/12,((($N25-$R$6)*$S$6)+$V$6-SUM($O$14:$O24))),0)</f>
        <v>514.67999999999995</v>
      </c>
      <c r="P25" s="41">
        <f t="shared" si="9"/>
        <v>515</v>
      </c>
      <c r="Q25" s="41">
        <f t="shared" si="10"/>
        <v>5662.7352000000001</v>
      </c>
    </row>
    <row r="26" spans="1:18" x14ac:dyDescent="0.3">
      <c r="A26" s="179"/>
      <c r="B26" s="189" t="s">
        <v>78</v>
      </c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63"/>
    </row>
    <row r="27" spans="1:18" x14ac:dyDescent="0.3">
      <c r="A27" s="179"/>
      <c r="B27" s="42" t="s">
        <v>79</v>
      </c>
      <c r="C27" s="43">
        <f>SUM(C$14:C$25)</f>
        <v>108000</v>
      </c>
      <c r="D27" s="44" t="s">
        <v>80</v>
      </c>
      <c r="E27" s="44">
        <f t="shared" ref="E27:P27" si="13">SUM(E$14:E$25)</f>
        <v>8322.9600000000009</v>
      </c>
      <c r="F27" s="44">
        <f t="shared" si="13"/>
        <v>3411.1200000000008</v>
      </c>
      <c r="G27" s="44">
        <f t="shared" si="13"/>
        <v>1044.5999999999997</v>
      </c>
      <c r="H27" s="44">
        <f t="shared" si="13"/>
        <v>712.08000000000027</v>
      </c>
      <c r="I27" s="44">
        <f t="shared" si="13"/>
        <v>1044.5999999999997</v>
      </c>
      <c r="J27" s="44">
        <f t="shared" si="13"/>
        <v>7331.8176000000012</v>
      </c>
      <c r="K27" s="44">
        <f t="shared" si="13"/>
        <v>0</v>
      </c>
      <c r="L27" s="44">
        <f t="shared" si="13"/>
        <v>12000</v>
      </c>
      <c r="M27" s="44">
        <f t="shared" si="13"/>
        <v>81468</v>
      </c>
      <c r="N27" s="44" t="s">
        <v>80</v>
      </c>
      <c r="O27" s="44">
        <f t="shared" si="13"/>
        <v>6176.1600000000008</v>
      </c>
      <c r="P27" s="44">
        <f t="shared" si="13"/>
        <v>6180</v>
      </c>
      <c r="Q27" s="45">
        <f>SUM(Q$14:Q$25)-T6</f>
        <v>67952.822400000019</v>
      </c>
    </row>
    <row r="28" spans="1:18" x14ac:dyDescent="0.3">
      <c r="A28" s="179"/>
      <c r="B28" s="46" t="s">
        <v>81</v>
      </c>
      <c r="C28" s="47">
        <f>C$27/12</f>
        <v>9000</v>
      </c>
      <c r="D28" s="47" t="s">
        <v>80</v>
      </c>
      <c r="E28" s="47">
        <f t="shared" ref="E28:Q28" si="14">E$27/12</f>
        <v>693.58</v>
      </c>
      <c r="F28" s="47">
        <f t="shared" si="14"/>
        <v>284.26000000000005</v>
      </c>
      <c r="G28" s="47">
        <f t="shared" si="14"/>
        <v>87.049999999999969</v>
      </c>
      <c r="H28" s="47">
        <f t="shared" si="14"/>
        <v>59.340000000000025</v>
      </c>
      <c r="I28" s="47">
        <f t="shared" si="14"/>
        <v>87.049999999999969</v>
      </c>
      <c r="J28" s="47">
        <f t="shared" si="14"/>
        <v>610.98480000000006</v>
      </c>
      <c r="K28" s="47">
        <f t="shared" si="14"/>
        <v>0</v>
      </c>
      <c r="L28" s="47">
        <f t="shared" si="14"/>
        <v>1000</v>
      </c>
      <c r="M28" s="47">
        <f t="shared" si="14"/>
        <v>6789</v>
      </c>
      <c r="N28" s="47" t="s">
        <v>80</v>
      </c>
      <c r="O28" s="47">
        <f t="shared" si="14"/>
        <v>514.68000000000006</v>
      </c>
      <c r="P28" s="47">
        <f t="shared" si="14"/>
        <v>515</v>
      </c>
      <c r="Q28" s="47">
        <f t="shared" si="14"/>
        <v>5662.7352000000019</v>
      </c>
    </row>
    <row r="29" spans="1:18" x14ac:dyDescent="0.3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8"/>
      <c r="Q29" s="37"/>
    </row>
  </sheetData>
  <sheetProtection algorithmName="SHA-512" hashValue="Vsns9Bi3vCkBKAiQUkTW/yrIxpTXnGfXM1LsBXHz/xD877ES97YQihePMakMlZhb7CIttAcV7LwV5dKxx5VPSw==" saltValue="Oa72DFA58oVq7kI+J+pd9Q==" spinCount="100000" sheet="1" objects="1" scenarios="1"/>
  <mergeCells count="37">
    <mergeCell ref="U4:U5"/>
    <mergeCell ref="V4:V5"/>
    <mergeCell ref="G3:V3"/>
    <mergeCell ref="Q10:Q13"/>
    <mergeCell ref="E12:E13"/>
    <mergeCell ref="F12:F13"/>
    <mergeCell ref="G12:G13"/>
    <mergeCell ref="H12:H13"/>
    <mergeCell ref="I12:I13"/>
    <mergeCell ref="J12:J13"/>
    <mergeCell ref="K12:K13"/>
    <mergeCell ref="J10:K11"/>
    <mergeCell ref="L10:L13"/>
    <mergeCell ref="M10:M13"/>
    <mergeCell ref="N10:N13"/>
    <mergeCell ref="S4:S5"/>
    <mergeCell ref="T4:T5"/>
    <mergeCell ref="B5:D6"/>
    <mergeCell ref="E5:F6"/>
    <mergeCell ref="B3:D4"/>
    <mergeCell ref="E3:F4"/>
    <mergeCell ref="G4:G5"/>
    <mergeCell ref="H4:I5"/>
    <mergeCell ref="J4:N4"/>
    <mergeCell ref="O4:O5"/>
    <mergeCell ref="P4:P5"/>
    <mergeCell ref="Q4:Q5"/>
    <mergeCell ref="R4:R5"/>
    <mergeCell ref="A9:A28"/>
    <mergeCell ref="B9:Q9"/>
    <mergeCell ref="B10:B13"/>
    <mergeCell ref="C10:C13"/>
    <mergeCell ref="D10:D13"/>
    <mergeCell ref="E10:I11"/>
    <mergeCell ref="O10:O13"/>
    <mergeCell ref="P10:P13"/>
    <mergeCell ref="B26:Q26"/>
  </mergeCells>
  <pageMargins left="0.7" right="0.7" top="0.75" bottom="0.75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EF4AD-63A9-4321-80A5-459EED1108A8}">
  <dimension ref="B1:H11"/>
  <sheetViews>
    <sheetView workbookViewId="0">
      <selection activeCell="C59" sqref="C59"/>
    </sheetView>
  </sheetViews>
  <sheetFormatPr defaultRowHeight="14.4" x14ac:dyDescent="0.3"/>
  <cols>
    <col min="7" max="7" width="9.88671875" bestFit="1" customWidth="1"/>
    <col min="8" max="8" width="15.88671875" customWidth="1"/>
  </cols>
  <sheetData>
    <row r="1" spans="2:8" x14ac:dyDescent="0.3">
      <c r="B1" s="51" t="s">
        <v>97</v>
      </c>
    </row>
    <row r="2" spans="2:8" x14ac:dyDescent="0.3">
      <c r="B2" s="20">
        <v>0.17</v>
      </c>
      <c r="C2" t="s">
        <v>25</v>
      </c>
      <c r="D2" t="s">
        <v>89</v>
      </c>
      <c r="G2" s="49"/>
      <c r="H2" t="s">
        <v>92</v>
      </c>
    </row>
    <row r="3" spans="2:8" x14ac:dyDescent="0.3">
      <c r="B3" s="20">
        <v>0.15</v>
      </c>
      <c r="C3" t="s">
        <v>36</v>
      </c>
      <c r="D3" t="s">
        <v>90</v>
      </c>
      <c r="G3" s="49"/>
      <c r="H3" t="s">
        <v>93</v>
      </c>
    </row>
    <row r="4" spans="2:8" x14ac:dyDescent="0.3">
      <c r="B4" s="20">
        <v>0.14000000000000001</v>
      </c>
      <c r="D4" t="s">
        <v>91</v>
      </c>
      <c r="G4" s="49"/>
      <c r="H4" t="s">
        <v>94</v>
      </c>
    </row>
    <row r="5" spans="2:8" x14ac:dyDescent="0.3">
      <c r="B5" s="20">
        <v>0.12</v>
      </c>
      <c r="G5" s="49"/>
      <c r="H5" t="s">
        <v>95</v>
      </c>
    </row>
    <row r="6" spans="2:8" x14ac:dyDescent="0.3">
      <c r="B6" s="20">
        <v>0.1</v>
      </c>
      <c r="G6" s="49"/>
    </row>
    <row r="7" spans="2:8" x14ac:dyDescent="0.3">
      <c r="B7" s="52" t="s">
        <v>32</v>
      </c>
      <c r="G7" s="49"/>
    </row>
    <row r="8" spans="2:8" x14ac:dyDescent="0.3">
      <c r="B8" s="21">
        <v>8.5000000000000006E-2</v>
      </c>
    </row>
    <row r="9" spans="2:8" x14ac:dyDescent="0.3">
      <c r="B9" s="21">
        <v>5.5E-2</v>
      </c>
    </row>
    <row r="10" spans="2:8" x14ac:dyDescent="0.3">
      <c r="B10" s="20">
        <v>0.03</v>
      </c>
    </row>
    <row r="11" spans="2:8" x14ac:dyDescent="0.3">
      <c r="B11" s="20">
        <v>0.02</v>
      </c>
    </row>
  </sheetData>
  <sheetProtection algorithmName="SHA-512" hashValue="iW/mND5tPKjYiPVzZ7R3BjykB44IDUJV+z77fH1Ig/R1mdSXGGAqd8H+kHvJ03LP/obAVSqfrqdKRVQ9hgkqHQ==" saltValue="laJ0htISIR9xwGngg48zx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Kalkulator</vt:lpstr>
      <vt:lpstr>Podsumowanie</vt:lpstr>
      <vt:lpstr>Ryczałt (6m)</vt:lpstr>
      <vt:lpstr>Ryczałt (12m)</vt:lpstr>
      <vt:lpstr>Skala (6m)</vt:lpstr>
      <vt:lpstr>Skala (12m)</vt:lpstr>
      <vt:lpstr>Techniczny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PTPodatki</dc:creator>
  <cp:lastModifiedBy>PT Podatki</cp:lastModifiedBy>
  <dcterms:created xsi:type="dcterms:W3CDTF">2022-05-23T11:44:21Z</dcterms:created>
  <dcterms:modified xsi:type="dcterms:W3CDTF">2022-07-20T14:31:24Z</dcterms:modified>
</cp:coreProperties>
</file>